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fileSharing readOnlyRecommended="1"/>
  <workbookPr defaultThemeVersion="166925"/>
  <mc:AlternateContent xmlns:mc="http://schemas.openxmlformats.org/markup-compatibility/2006">
    <mc:Choice Requires="x15">
      <x15ac:absPath xmlns:x15ac="http://schemas.microsoft.com/office/spreadsheetml/2010/11/ac" url="C:\Users\gbates\Downloads\"/>
    </mc:Choice>
  </mc:AlternateContent>
  <xr:revisionPtr revIDLastSave="0" documentId="8_{6D3908D6-654D-40F9-9D41-F55A0BE4BCB0}" xr6:coauthVersionLast="47" xr6:coauthVersionMax="47" xr10:uidLastSave="{00000000-0000-0000-0000-000000000000}"/>
  <bookViews>
    <workbookView xWindow="1900" yWindow="1900" windowWidth="14400" windowHeight="7450" firstSheet="1" activeTab="10" xr2:uid="{4C220225-707A-463F-B953-62623D139FC2}"/>
  </bookViews>
  <sheets>
    <sheet name="LoS" sheetId="12" r:id="rId1"/>
    <sheet name="Assessments" sheetId="13" r:id="rId2"/>
    <sheet name="Risks" sheetId="22" r:id="rId3"/>
    <sheet name="Summary" sheetId="17" r:id="rId4"/>
    <sheet name="Rates" sheetId="16" r:id="rId5"/>
    <sheet name="Cost" sheetId="15" r:id="rId6"/>
    <sheet name="Cost (2)" sheetId="19" r:id="rId7"/>
    <sheet name="O&amp;M" sheetId="20" r:id="rId8"/>
    <sheet name="Hut" sheetId="21" r:id="rId9"/>
    <sheet name="Stakeholders" sheetId="14" r:id="rId10"/>
    <sheet name="Structures List" sheetId="18" r:id="rId11"/>
  </sheets>
  <definedNames>
    <definedName name="_xlnm.Print_Area" localSheetId="0">LoS!$A$1:$E$46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0" i="20" l="1"/>
  <c r="P179" i="15"/>
  <c r="D249" i="20"/>
  <c r="B450" i="13"/>
  <c r="B449" i="13"/>
  <c r="B433" i="13"/>
  <c r="B432" i="13"/>
  <c r="B416" i="13"/>
  <c r="B415" i="13"/>
  <c r="B399" i="13"/>
  <c r="B398" i="13"/>
  <c r="B382" i="13"/>
  <c r="B381" i="13"/>
  <c r="B365" i="13"/>
  <c r="B364" i="13"/>
  <c r="B348" i="13"/>
  <c r="B347" i="13"/>
  <c r="B331" i="13"/>
  <c r="B330" i="13"/>
  <c r="B314" i="13"/>
  <c r="B313" i="13"/>
  <c r="B281" i="13"/>
  <c r="B280" i="13"/>
  <c r="B264" i="13"/>
  <c r="B263" i="13"/>
  <c r="B197" i="13"/>
  <c r="B196" i="13"/>
  <c r="B179" i="13"/>
  <c r="B178" i="13"/>
  <c r="B160" i="13"/>
  <c r="B159" i="13"/>
  <c r="D78" i="20"/>
  <c r="D83" i="20"/>
  <c r="D79" i="20"/>
  <c r="F13" i="17"/>
  <c r="R71" i="15"/>
  <c r="R72" i="15" s="1"/>
  <c r="P72" i="15"/>
  <c r="O71" i="15"/>
  <c r="O72" i="15" s="1"/>
  <c r="N71" i="15"/>
  <c r="M71" i="15"/>
  <c r="M72" i="15" s="1"/>
  <c r="L71" i="15"/>
  <c r="L72" i="15" s="1"/>
  <c r="K71" i="15"/>
  <c r="K72" i="15" s="1"/>
  <c r="J71" i="15"/>
  <c r="J72" i="15" s="1"/>
  <c r="I71" i="15"/>
  <c r="I72" i="15" s="1"/>
  <c r="H71" i="15"/>
  <c r="H72" i="15" s="1"/>
  <c r="G71" i="15"/>
  <c r="G72" i="15" s="1"/>
  <c r="F71" i="15"/>
  <c r="F72" i="15" s="1"/>
  <c r="B67" i="15"/>
  <c r="D70" i="15"/>
  <c r="E70" i="15" s="1"/>
  <c r="E71" i="15" s="1"/>
  <c r="E72" i="15" s="1"/>
  <c r="B132" i="13"/>
  <c r="B131" i="13"/>
  <c r="B98" i="13"/>
  <c r="B97" i="13"/>
  <c r="B79" i="13"/>
  <c r="B78" i="13"/>
  <c r="B61" i="13"/>
  <c r="B60" i="13"/>
  <c r="B44" i="13"/>
  <c r="B43" i="13"/>
  <c r="O150" i="15"/>
  <c r="D164" i="20"/>
  <c r="D155" i="20"/>
  <c r="D162" i="20"/>
  <c r="D163" i="20"/>
  <c r="D144" i="20"/>
  <c r="D166" i="20"/>
  <c r="D165" i="20"/>
  <c r="S137" i="15"/>
  <c r="T137" i="15"/>
  <c r="R137" i="15"/>
  <c r="R138" i="15" s="1"/>
  <c r="O137" i="15"/>
  <c r="O138" i="15" s="1"/>
  <c r="B132" i="15"/>
  <c r="E137" i="15"/>
  <c r="E138" i="15" s="1"/>
  <c r="Q138" i="15"/>
  <c r="P138" i="15"/>
  <c r="N137" i="15"/>
  <c r="M137" i="15"/>
  <c r="M138" i="15" s="1"/>
  <c r="L137" i="15"/>
  <c r="L138" i="15" s="1"/>
  <c r="J137" i="15"/>
  <c r="J138" i="15" s="1"/>
  <c r="I137" i="15"/>
  <c r="I138" i="15" s="1"/>
  <c r="F137" i="15"/>
  <c r="F138" i="15" s="1"/>
  <c r="D136" i="15"/>
  <c r="H136" i="15" s="1"/>
  <c r="D135" i="15"/>
  <c r="G137" i="15" s="1"/>
  <c r="G138" i="15" s="1"/>
  <c r="D230" i="20"/>
  <c r="D24" i="20"/>
  <c r="D17" i="20"/>
  <c r="D19" i="20"/>
  <c r="D18" i="20"/>
  <c r="F30" i="15"/>
  <c r="H10" i="20"/>
  <c r="D12" i="20"/>
  <c r="D71" i="15" l="1"/>
  <c r="D84" i="20"/>
  <c r="F29" i="17" s="1"/>
  <c r="B150" i="13" s="1"/>
  <c r="M73" i="15"/>
  <c r="F11" i="17" s="1"/>
  <c r="F18" i="17" s="1"/>
  <c r="T74" i="15"/>
  <c r="F12" i="17" s="1"/>
  <c r="H135" i="15"/>
  <c r="H137" i="15" s="1"/>
  <c r="H138" i="15" s="1"/>
  <c r="K135" i="15"/>
  <c r="K137" i="15" s="1"/>
  <c r="K138" i="15" s="1"/>
  <c r="D137" i="15"/>
  <c r="J10" i="17" s="1"/>
  <c r="D167" i="20"/>
  <c r="D168" i="20" s="1"/>
  <c r="J29" i="17" s="1"/>
  <c r="B251" i="13" s="1"/>
  <c r="T140" i="15"/>
  <c r="J12" i="17" s="1"/>
  <c r="J19" i="17" s="1"/>
  <c r="D234" i="20"/>
  <c r="D235" i="20" s="1"/>
  <c r="B422" i="13" s="1"/>
  <c r="D20" i="20"/>
  <c r="D21" i="20" s="1"/>
  <c r="B27" i="13"/>
  <c r="B26" i="13"/>
  <c r="F10" i="17" l="1"/>
  <c r="B143" i="13"/>
  <c r="F14" i="17"/>
  <c r="F19" i="17"/>
  <c r="M139" i="15"/>
  <c r="J11" i="17" s="1"/>
  <c r="J18" i="17" s="1"/>
  <c r="D241" i="20"/>
  <c r="D240" i="20"/>
  <c r="D202" i="20"/>
  <c r="D142" i="20"/>
  <c r="D134" i="20"/>
  <c r="D133" i="20"/>
  <c r="D124" i="20"/>
  <c r="D104" i="20"/>
  <c r="D88" i="20"/>
  <c r="D87" i="20"/>
  <c r="D58" i="20"/>
  <c r="D50" i="20"/>
  <c r="D42" i="20"/>
  <c r="D25" i="20"/>
  <c r="B5" i="14"/>
  <c r="B4" i="14"/>
  <c r="B349" i="15"/>
  <c r="B324" i="15"/>
  <c r="B289" i="15"/>
  <c r="B270" i="15"/>
  <c r="B251" i="15"/>
  <c r="B238" i="15"/>
  <c r="B216" i="15"/>
  <c r="B197" i="15"/>
  <c r="B184" i="15"/>
  <c r="B168" i="15"/>
  <c r="B155" i="15"/>
  <c r="B145" i="15"/>
  <c r="B110" i="15"/>
  <c r="B88" i="15"/>
  <c r="B76" i="15"/>
  <c r="B52" i="15"/>
  <c r="B26" i="15"/>
  <c r="B16" i="15"/>
  <c r="B5" i="15"/>
  <c r="C45" i="16"/>
  <c r="D49" i="20"/>
  <c r="D48" i="20"/>
  <c r="N73" i="21"/>
  <c r="J84" i="21"/>
  <c r="F15" i="17" l="1"/>
  <c r="F16" i="17" s="1"/>
  <c r="F20" i="17" s="1"/>
  <c r="F21" i="17" s="1"/>
  <c r="J14" i="17"/>
  <c r="J15" i="17" s="1"/>
  <c r="J16" i="17" s="1"/>
  <c r="J20" i="17" s="1"/>
  <c r="J21" i="17" s="1"/>
  <c r="D52" i="20"/>
  <c r="N29" i="17" s="1"/>
  <c r="B50" i="13" s="1"/>
  <c r="F22" i="17" l="1"/>
  <c r="F23" i="17" s="1"/>
  <c r="F24" i="17" s="1"/>
  <c r="B149" i="13" s="1"/>
  <c r="J22" i="17"/>
  <c r="J23" i="17" s="1"/>
  <c r="J24" i="17" s="1"/>
  <c r="E47" i="17"/>
  <c r="I47" i="17"/>
  <c r="B250" i="13" l="1"/>
  <c r="J25" i="17"/>
  <c r="J26" i="17" s="1"/>
  <c r="F25" i="17"/>
  <c r="F26" i="17" s="1"/>
  <c r="F28" i="17" s="1"/>
  <c r="F329" i="15"/>
  <c r="M321" i="15"/>
  <c r="D222" i="20"/>
  <c r="D242" i="20"/>
  <c r="D223" i="20"/>
  <c r="D212" i="20"/>
  <c r="D211" i="20"/>
  <c r="D194" i="20"/>
  <c r="D114" i="20"/>
  <c r="D123" i="20"/>
  <c r="D57" i="20"/>
  <c r="M272" i="19"/>
  <c r="L272" i="19"/>
  <c r="L271" i="19"/>
  <c r="L268" i="19"/>
  <c r="L269" i="19"/>
  <c r="L273" i="19" s="1"/>
  <c r="L270" i="19"/>
  <c r="L267" i="19"/>
  <c r="M259" i="19"/>
  <c r="M260" i="19"/>
  <c r="M261" i="19"/>
  <c r="M262" i="19"/>
  <c r="M263" i="19"/>
  <c r="M264" i="19"/>
  <c r="M265" i="19"/>
  <c r="M266" i="19"/>
  <c r="M258" i="19"/>
  <c r="L253" i="19"/>
  <c r="L254" i="19"/>
  <c r="L255" i="19"/>
  <c r="L256" i="19"/>
  <c r="L257" i="19"/>
  <c r="L252" i="19"/>
  <c r="L251" i="19"/>
  <c r="M249" i="19"/>
  <c r="M250" i="19"/>
  <c r="L215" i="19"/>
  <c r="L216" i="19"/>
  <c r="L217" i="19"/>
  <c r="L218" i="19"/>
  <c r="L219" i="19"/>
  <c r="L220" i="19"/>
  <c r="L221" i="19"/>
  <c r="L222" i="19"/>
  <c r="L223" i="19"/>
  <c r="L224" i="19"/>
  <c r="L225" i="19"/>
  <c r="L226" i="19"/>
  <c r="L227" i="19"/>
  <c r="L228" i="19"/>
  <c r="L229" i="19"/>
  <c r="L230" i="19"/>
  <c r="L231" i="19"/>
  <c r="L232" i="19"/>
  <c r="L233" i="19"/>
  <c r="L234" i="19"/>
  <c r="L235" i="19"/>
  <c r="L236" i="19"/>
  <c r="L237" i="19"/>
  <c r="L238" i="19"/>
  <c r="L239" i="19"/>
  <c r="L240" i="19"/>
  <c r="L241" i="19"/>
  <c r="L242" i="19"/>
  <c r="L243" i="19"/>
  <c r="L244" i="19"/>
  <c r="L245" i="19"/>
  <c r="L246" i="19"/>
  <c r="L247" i="19"/>
  <c r="L248" i="19"/>
  <c r="L214" i="19"/>
  <c r="D56" i="20"/>
  <c r="B56" i="13"/>
  <c r="B39" i="13"/>
  <c r="O205" i="19"/>
  <c r="O206" i="19" s="1"/>
  <c r="D127" i="20"/>
  <c r="D126" i="20"/>
  <c r="D125" i="20"/>
  <c r="D122" i="20"/>
  <c r="D172" i="20"/>
  <c r="D153" i="20"/>
  <c r="D174" i="20"/>
  <c r="D171" i="20"/>
  <c r="D180" i="20"/>
  <c r="D193" i="20"/>
  <c r="D192" i="20"/>
  <c r="D214" i="20"/>
  <c r="D213" i="20"/>
  <c r="D204" i="20"/>
  <c r="D201" i="20"/>
  <c r="D225" i="20"/>
  <c r="D224" i="20"/>
  <c r="D221" i="20"/>
  <c r="D220" i="20"/>
  <c r="D252" i="20"/>
  <c r="D248" i="20"/>
  <c r="D253" i="20" s="1"/>
  <c r="D239" i="20"/>
  <c r="D238" i="20"/>
  <c r="D250" i="20"/>
  <c r="D251" i="20"/>
  <c r="D210" i="20"/>
  <c r="D203" i="20"/>
  <c r="D200" i="20"/>
  <c r="D191" i="20"/>
  <c r="D190" i="20"/>
  <c r="D183" i="20"/>
  <c r="D182" i="20"/>
  <c r="D181" i="20"/>
  <c r="D173" i="20"/>
  <c r="D157" i="20"/>
  <c r="D156" i="20"/>
  <c r="D154" i="20"/>
  <c r="D152" i="20"/>
  <c r="D146" i="20"/>
  <c r="D145" i="20"/>
  <c r="D143" i="20"/>
  <c r="D136" i="20"/>
  <c r="D135" i="20"/>
  <c r="D117" i="20"/>
  <c r="D116" i="20"/>
  <c r="D115" i="20"/>
  <c r="D113" i="20"/>
  <c r="D107" i="20"/>
  <c r="D106" i="20"/>
  <c r="D105" i="20"/>
  <c r="D103" i="20"/>
  <c r="B22" i="13"/>
  <c r="C140" i="16"/>
  <c r="C40" i="16"/>
  <c r="C41" i="16"/>
  <c r="Q105" i="15"/>
  <c r="G157" i="19"/>
  <c r="P329" i="15"/>
  <c r="P330" i="15" s="1"/>
  <c r="M329" i="15"/>
  <c r="C27" i="16"/>
  <c r="D313" i="15"/>
  <c r="F313" i="15" s="1"/>
  <c r="F321" i="15" s="1"/>
  <c r="X10" i="17"/>
  <c r="W10" i="17"/>
  <c r="W47" i="17" s="1"/>
  <c r="V10" i="17"/>
  <c r="U10" i="17"/>
  <c r="T10" i="17"/>
  <c r="R10" i="17"/>
  <c r="R47" i="17" s="1"/>
  <c r="P10" i="17"/>
  <c r="O10" i="17"/>
  <c r="S10" i="17"/>
  <c r="S47" i="17" s="1"/>
  <c r="R190" i="15"/>
  <c r="R191" i="15" s="1"/>
  <c r="P273" i="19"/>
  <c r="N273" i="19"/>
  <c r="J273" i="19"/>
  <c r="T273" i="19"/>
  <c r="S273" i="19"/>
  <c r="O272" i="19"/>
  <c r="P272" i="19"/>
  <c r="Q272" i="19"/>
  <c r="R272" i="19"/>
  <c r="R273" i="19" s="1"/>
  <c r="S272" i="19"/>
  <c r="T272" i="19"/>
  <c r="N272" i="19"/>
  <c r="J272" i="19"/>
  <c r="F272" i="19"/>
  <c r="G272" i="19"/>
  <c r="E272" i="19"/>
  <c r="E271" i="19"/>
  <c r="F270" i="19"/>
  <c r="E269" i="19"/>
  <c r="F268" i="19"/>
  <c r="J265" i="19"/>
  <c r="J266" i="19"/>
  <c r="J264" i="19"/>
  <c r="G267" i="19"/>
  <c r="E266" i="19"/>
  <c r="E265" i="19"/>
  <c r="E264" i="19"/>
  <c r="N263" i="19"/>
  <c r="J263" i="19"/>
  <c r="F263" i="19"/>
  <c r="E262" i="19"/>
  <c r="N261" i="19"/>
  <c r="N259" i="19"/>
  <c r="J261" i="19"/>
  <c r="F261" i="19"/>
  <c r="E260" i="19"/>
  <c r="F259" i="19"/>
  <c r="J259" i="19"/>
  <c r="J257" i="19"/>
  <c r="E258" i="19"/>
  <c r="G256" i="19"/>
  <c r="G253" i="19"/>
  <c r="F257" i="19"/>
  <c r="F255" i="19"/>
  <c r="F254" i="19"/>
  <c r="F252" i="19"/>
  <c r="F251" i="19"/>
  <c r="O250" i="19"/>
  <c r="G250" i="19"/>
  <c r="F249" i="19"/>
  <c r="G248" i="19"/>
  <c r="E247" i="19"/>
  <c r="J246" i="19"/>
  <c r="F246" i="19"/>
  <c r="F245" i="19"/>
  <c r="F243" i="19"/>
  <c r="E242" i="19"/>
  <c r="J241" i="19"/>
  <c r="F241" i="19"/>
  <c r="F239" i="19"/>
  <c r="E240" i="19"/>
  <c r="E238" i="19"/>
  <c r="O236" i="19"/>
  <c r="P237" i="19"/>
  <c r="E235" i="19"/>
  <c r="G234" i="19"/>
  <c r="F233" i="19"/>
  <c r="J233" i="19"/>
  <c r="J232" i="19"/>
  <c r="F232" i="19"/>
  <c r="G230" i="19"/>
  <c r="J226" i="19"/>
  <c r="J227" i="19"/>
  <c r="J228" i="19"/>
  <c r="J229" i="19"/>
  <c r="J225" i="19"/>
  <c r="E225" i="19"/>
  <c r="E226" i="19"/>
  <c r="E227" i="19"/>
  <c r="E228" i="19"/>
  <c r="E229" i="19"/>
  <c r="E224" i="19"/>
  <c r="J223" i="19"/>
  <c r="O223" i="19"/>
  <c r="E223" i="19"/>
  <c r="F222" i="19"/>
  <c r="F221" i="19"/>
  <c r="E220" i="19"/>
  <c r="J221" i="19"/>
  <c r="F219" i="19"/>
  <c r="G218" i="19"/>
  <c r="F217" i="19"/>
  <c r="G216" i="19"/>
  <c r="F215" i="19"/>
  <c r="F214" i="19"/>
  <c r="M10" i="17"/>
  <c r="M47" i="17" s="1"/>
  <c r="D272" i="19"/>
  <c r="Q273" i="19"/>
  <c r="O273" i="19"/>
  <c r="K272" i="19"/>
  <c r="I272" i="19"/>
  <c r="H272" i="19"/>
  <c r="H273" i="19" s="1"/>
  <c r="D215" i="19"/>
  <c r="D216" i="19"/>
  <c r="D217" i="19"/>
  <c r="D218" i="19"/>
  <c r="D219" i="19"/>
  <c r="D220" i="19"/>
  <c r="D221" i="19"/>
  <c r="D222" i="19"/>
  <c r="D223" i="19"/>
  <c r="D224" i="19"/>
  <c r="D225" i="19"/>
  <c r="D226" i="19"/>
  <c r="D227" i="19"/>
  <c r="D228" i="19"/>
  <c r="D229" i="19"/>
  <c r="D230" i="19"/>
  <c r="D231" i="19"/>
  <c r="D232" i="19"/>
  <c r="D233" i="19"/>
  <c r="D234" i="19"/>
  <c r="D235" i="19"/>
  <c r="D236" i="19"/>
  <c r="D237" i="19"/>
  <c r="D238" i="19"/>
  <c r="D239" i="19"/>
  <c r="D240" i="19"/>
  <c r="D241" i="19"/>
  <c r="D242" i="19"/>
  <c r="D243" i="19"/>
  <c r="D244" i="19"/>
  <c r="D245" i="19"/>
  <c r="D246" i="19"/>
  <c r="D247" i="19"/>
  <c r="D248" i="19"/>
  <c r="D249" i="19"/>
  <c r="D250" i="19"/>
  <c r="D251" i="19"/>
  <c r="D252" i="19"/>
  <c r="D253" i="19"/>
  <c r="D254" i="19"/>
  <c r="D255" i="19"/>
  <c r="D256" i="19"/>
  <c r="D257" i="19"/>
  <c r="D258" i="19"/>
  <c r="D259" i="19"/>
  <c r="D260" i="19"/>
  <c r="D261" i="19"/>
  <c r="D262" i="19"/>
  <c r="D263" i="19"/>
  <c r="D264" i="19"/>
  <c r="D265" i="19"/>
  <c r="D266" i="19"/>
  <c r="D267" i="19"/>
  <c r="D268" i="19"/>
  <c r="D269" i="19"/>
  <c r="D270" i="19"/>
  <c r="D271" i="19"/>
  <c r="D214" i="19"/>
  <c r="B253" i="19"/>
  <c r="B254" i="19"/>
  <c r="B255" i="19"/>
  <c r="B256" i="19"/>
  <c r="B257" i="19"/>
  <c r="B258" i="19"/>
  <c r="B259" i="19"/>
  <c r="B260" i="19"/>
  <c r="B261" i="19"/>
  <c r="B262" i="19"/>
  <c r="B263" i="19"/>
  <c r="B264" i="19"/>
  <c r="B265" i="19"/>
  <c r="B266" i="19"/>
  <c r="B267" i="19"/>
  <c r="B268" i="19"/>
  <c r="B269" i="19"/>
  <c r="B270" i="19"/>
  <c r="B271" i="19"/>
  <c r="B252" i="19"/>
  <c r="B216" i="19"/>
  <c r="B217" i="19"/>
  <c r="B218" i="19"/>
  <c r="B219" i="19"/>
  <c r="B220" i="19"/>
  <c r="B221" i="19"/>
  <c r="B222" i="19"/>
  <c r="B223" i="19"/>
  <c r="B224" i="19"/>
  <c r="B225" i="19"/>
  <c r="B226" i="19"/>
  <c r="B227" i="19"/>
  <c r="B228" i="19"/>
  <c r="B229" i="19"/>
  <c r="B230" i="19"/>
  <c r="B231" i="19"/>
  <c r="B232" i="19"/>
  <c r="B233" i="19"/>
  <c r="B234" i="19"/>
  <c r="B235" i="19"/>
  <c r="B236" i="19"/>
  <c r="B237" i="19"/>
  <c r="B238" i="19"/>
  <c r="B239" i="19"/>
  <c r="B240" i="19"/>
  <c r="B241" i="19"/>
  <c r="B242" i="19"/>
  <c r="B243" i="19"/>
  <c r="B244" i="19"/>
  <c r="B245" i="19"/>
  <c r="B246" i="19"/>
  <c r="B247" i="19"/>
  <c r="B248" i="19"/>
  <c r="B249" i="19"/>
  <c r="B250" i="19"/>
  <c r="B215" i="19"/>
  <c r="C250" i="19"/>
  <c r="C249" i="19"/>
  <c r="N10" i="17"/>
  <c r="N47" i="17" s="1"/>
  <c r="E206" i="19"/>
  <c r="L206" i="19"/>
  <c r="L205" i="19"/>
  <c r="L198" i="19"/>
  <c r="L199" i="19"/>
  <c r="L200" i="19"/>
  <c r="L201" i="19"/>
  <c r="L202" i="19"/>
  <c r="L203" i="19"/>
  <c r="L204" i="19"/>
  <c r="L197" i="19"/>
  <c r="M205" i="19"/>
  <c r="M185" i="19"/>
  <c r="M186" i="19"/>
  <c r="M187" i="19"/>
  <c r="M188" i="19"/>
  <c r="M189" i="19"/>
  <c r="M190" i="19"/>
  <c r="M191" i="19"/>
  <c r="M192" i="19"/>
  <c r="M193" i="19"/>
  <c r="M194" i="19"/>
  <c r="M195" i="19"/>
  <c r="M196" i="19"/>
  <c r="M184" i="19"/>
  <c r="H205" i="19"/>
  <c r="F205" i="19"/>
  <c r="G205" i="19"/>
  <c r="G204" i="19"/>
  <c r="G203" i="19"/>
  <c r="H202" i="19"/>
  <c r="F201" i="19"/>
  <c r="G200" i="19"/>
  <c r="H199" i="19"/>
  <c r="B197" i="19"/>
  <c r="B198" i="19"/>
  <c r="D197" i="19"/>
  <c r="D198" i="19"/>
  <c r="G198" i="19" s="1"/>
  <c r="G197" i="19"/>
  <c r="F195" i="19"/>
  <c r="D191" i="19"/>
  <c r="G191" i="19" s="1"/>
  <c r="D193" i="19"/>
  <c r="H193" i="19" s="1"/>
  <c r="D194" i="19"/>
  <c r="F194" i="19" s="1"/>
  <c r="D195" i="19"/>
  <c r="D196" i="19"/>
  <c r="F196" i="19" s="1"/>
  <c r="D184" i="19"/>
  <c r="F184" i="19" s="1"/>
  <c r="B186" i="19"/>
  <c r="D186" i="19" s="1"/>
  <c r="O186" i="19" s="1"/>
  <c r="B187" i="19"/>
  <c r="D187" i="19" s="1"/>
  <c r="O187" i="19" s="1"/>
  <c r="B188" i="19"/>
  <c r="D188" i="19" s="1"/>
  <c r="H188" i="19" s="1"/>
  <c r="B189" i="19"/>
  <c r="D189" i="19" s="1"/>
  <c r="G189" i="19" s="1"/>
  <c r="B190" i="19"/>
  <c r="D190" i="19" s="1"/>
  <c r="O190" i="19" s="1"/>
  <c r="B191" i="19"/>
  <c r="B192" i="19"/>
  <c r="D192" i="19" s="1"/>
  <c r="O192" i="19" s="1"/>
  <c r="B193" i="19"/>
  <c r="B194" i="19"/>
  <c r="B195" i="19"/>
  <c r="B196" i="19"/>
  <c r="B199" i="19"/>
  <c r="D199" i="19" s="1"/>
  <c r="B200" i="19"/>
  <c r="D200" i="19" s="1"/>
  <c r="B201" i="19"/>
  <c r="D201" i="19" s="1"/>
  <c r="B202" i="19"/>
  <c r="D202" i="19" s="1"/>
  <c r="B203" i="19"/>
  <c r="D203" i="19" s="1"/>
  <c r="B204" i="19"/>
  <c r="D204" i="19" s="1"/>
  <c r="B185" i="19"/>
  <c r="D185" i="19" s="1"/>
  <c r="G185" i="19" s="1"/>
  <c r="Q206" i="19"/>
  <c r="R205" i="19"/>
  <c r="R206" i="19" s="1"/>
  <c r="Q205" i="19"/>
  <c r="P205" i="19"/>
  <c r="N205" i="19"/>
  <c r="K205" i="19"/>
  <c r="J205" i="19"/>
  <c r="I205" i="19"/>
  <c r="E205" i="19"/>
  <c r="Q19" i="17"/>
  <c r="Q18" i="17"/>
  <c r="Q14" i="17"/>
  <c r="C12" i="12"/>
  <c r="K10" i="17"/>
  <c r="I10" i="17"/>
  <c r="H10" i="17"/>
  <c r="H47" i="17" s="1"/>
  <c r="C10" i="17"/>
  <c r="B10" i="17"/>
  <c r="B110" i="13" s="1"/>
  <c r="S246" i="15"/>
  <c r="S247" i="15" s="1"/>
  <c r="S164" i="15"/>
  <c r="R150" i="15"/>
  <c r="R151" i="15" s="1"/>
  <c r="R82" i="15"/>
  <c r="R83" i="15" s="1"/>
  <c r="R21" i="15"/>
  <c r="R22" i="15" s="1"/>
  <c r="R10" i="15"/>
  <c r="R11" i="15" s="1"/>
  <c r="R264" i="15"/>
  <c r="R265" i="15" s="1"/>
  <c r="R246" i="15"/>
  <c r="R247" i="15" s="1"/>
  <c r="R233" i="15"/>
  <c r="R234" i="15" s="1"/>
  <c r="R211" i="15"/>
  <c r="R212" i="15" s="1"/>
  <c r="R179" i="15"/>
  <c r="R180" i="15" s="1"/>
  <c r="R163" i="15"/>
  <c r="R164" i="15" s="1"/>
  <c r="R126" i="15"/>
  <c r="R127" i="15" s="1"/>
  <c r="R104" i="15"/>
  <c r="R105" i="15" s="1"/>
  <c r="R61" i="15"/>
  <c r="R62" i="15" s="1"/>
  <c r="R46" i="15"/>
  <c r="R47" i="15" s="1"/>
  <c r="R282" i="15"/>
  <c r="R283" i="15" s="1"/>
  <c r="R299" i="15"/>
  <c r="R300" i="15" s="1"/>
  <c r="R329" i="15"/>
  <c r="R330" i="15" s="1"/>
  <c r="R343" i="15"/>
  <c r="R344" i="15" s="1"/>
  <c r="R363" i="15"/>
  <c r="R364" i="15" s="1"/>
  <c r="P363" i="15"/>
  <c r="P364" i="15" s="1"/>
  <c r="Q364" i="15"/>
  <c r="O363" i="15"/>
  <c r="O364" i="15" s="1"/>
  <c r="N363" i="15"/>
  <c r="N364" i="15" s="1"/>
  <c r="I363" i="15"/>
  <c r="I364" i="15" s="1"/>
  <c r="H363" i="15"/>
  <c r="G363" i="15"/>
  <c r="E363" i="15"/>
  <c r="P343" i="15"/>
  <c r="P344" i="15" s="1"/>
  <c r="N343" i="15"/>
  <c r="N344" i="15" s="1"/>
  <c r="L343" i="15"/>
  <c r="L344" i="15" s="1"/>
  <c r="K343" i="15"/>
  <c r="I343" i="15"/>
  <c r="I344" i="15" s="1"/>
  <c r="G343" i="15"/>
  <c r="F343" i="15"/>
  <c r="H329" i="15"/>
  <c r="Q330" i="15"/>
  <c r="N329" i="15"/>
  <c r="N330" i="15" s="1"/>
  <c r="K329" i="15"/>
  <c r="I329" i="15"/>
  <c r="I330" i="15" s="1"/>
  <c r="P315" i="15"/>
  <c r="P316" i="15" s="1"/>
  <c r="N315" i="15"/>
  <c r="N316" i="15" s="1"/>
  <c r="L315" i="15"/>
  <c r="L316" i="15" s="1"/>
  <c r="K315" i="15"/>
  <c r="K316" i="15" s="1"/>
  <c r="J315" i="15"/>
  <c r="J316" i="15" s="1"/>
  <c r="I315" i="15"/>
  <c r="I316" i="15" s="1"/>
  <c r="G315" i="15"/>
  <c r="E315" i="15"/>
  <c r="N299" i="15"/>
  <c r="N300" i="15" s="1"/>
  <c r="P299" i="15"/>
  <c r="P300" i="15" s="1"/>
  <c r="O299" i="15"/>
  <c r="O300" i="15" s="1"/>
  <c r="L299" i="15"/>
  <c r="L300" i="15" s="1"/>
  <c r="J299" i="15"/>
  <c r="J300" i="15" s="1"/>
  <c r="I299" i="15"/>
  <c r="I300" i="15" s="1"/>
  <c r="G299" i="15"/>
  <c r="E299" i="15"/>
  <c r="Q283" i="15"/>
  <c r="O282" i="15"/>
  <c r="O283" i="15" s="1"/>
  <c r="P283" i="15"/>
  <c r="N282" i="15"/>
  <c r="I282" i="15"/>
  <c r="I283" i="15" s="1"/>
  <c r="E282" i="15"/>
  <c r="P264" i="15"/>
  <c r="P265" i="15" s="1"/>
  <c r="N264" i="15"/>
  <c r="K264" i="15"/>
  <c r="J264" i="15"/>
  <c r="J265" i="15" s="1"/>
  <c r="I264" i="15"/>
  <c r="I265" i="15" s="1"/>
  <c r="F264" i="15"/>
  <c r="E264" i="15"/>
  <c r="Q247" i="15"/>
  <c r="P246" i="15"/>
  <c r="P247" i="15" s="1"/>
  <c r="O246" i="15"/>
  <c r="O247" i="15" s="1"/>
  <c r="F246" i="15"/>
  <c r="N246" i="15"/>
  <c r="K246" i="15"/>
  <c r="J246" i="15"/>
  <c r="J247" i="15" s="1"/>
  <c r="I246" i="15"/>
  <c r="I247" i="15" s="1"/>
  <c r="G246" i="15"/>
  <c r="P233" i="15"/>
  <c r="P234" i="15" s="1"/>
  <c r="O233" i="15"/>
  <c r="O234" i="15" s="1"/>
  <c r="Q234" i="15"/>
  <c r="N233" i="15"/>
  <c r="M233" i="15"/>
  <c r="L233" i="15"/>
  <c r="L234" i="15" s="1"/>
  <c r="K233" i="15"/>
  <c r="J233" i="15"/>
  <c r="J234" i="15" s="1"/>
  <c r="I233" i="15"/>
  <c r="I234" i="15" s="1"/>
  <c r="G233" i="15"/>
  <c r="E233" i="15"/>
  <c r="Q212" i="15"/>
  <c r="O211" i="15"/>
  <c r="O212" i="15" s="1"/>
  <c r="P211" i="15"/>
  <c r="P212" i="15" s="1"/>
  <c r="N211" i="15"/>
  <c r="M211" i="15"/>
  <c r="L211" i="15"/>
  <c r="L212" i="15" s="1"/>
  <c r="K211" i="15"/>
  <c r="J211" i="15"/>
  <c r="J212" i="15" s="1"/>
  <c r="I211" i="15"/>
  <c r="I212" i="15" s="1"/>
  <c r="F211" i="15"/>
  <c r="E211" i="15"/>
  <c r="P190" i="15"/>
  <c r="P191" i="15" s="1"/>
  <c r="B177" i="15"/>
  <c r="D177" i="15" s="1"/>
  <c r="H177" i="15" s="1"/>
  <c r="H179" i="15" s="1"/>
  <c r="B178" i="15"/>
  <c r="D178" i="15" s="1"/>
  <c r="G178" i="15" s="1"/>
  <c r="O190" i="15"/>
  <c r="N190" i="15"/>
  <c r="M190" i="15"/>
  <c r="L190" i="15"/>
  <c r="L191" i="15" s="1"/>
  <c r="K190" i="15"/>
  <c r="J190" i="15"/>
  <c r="J191" i="15" s="1"/>
  <c r="H190" i="15"/>
  <c r="G190" i="15"/>
  <c r="F190" i="15"/>
  <c r="P180" i="15"/>
  <c r="O179" i="15"/>
  <c r="N179" i="15"/>
  <c r="M179" i="15"/>
  <c r="L179" i="15"/>
  <c r="L180" i="15" s="1"/>
  <c r="J179" i="15"/>
  <c r="J180" i="15" s="1"/>
  <c r="E179" i="15"/>
  <c r="Q164" i="15"/>
  <c r="O163" i="15"/>
  <c r="O164" i="15" s="1"/>
  <c r="N163" i="15"/>
  <c r="P163" i="15"/>
  <c r="P164" i="15" s="1"/>
  <c r="M163" i="15"/>
  <c r="L163" i="15"/>
  <c r="L164" i="15" s="1"/>
  <c r="K163" i="15"/>
  <c r="K164" i="15" s="1"/>
  <c r="I163" i="15"/>
  <c r="I164" i="15" s="1"/>
  <c r="F163" i="15"/>
  <c r="E163" i="15"/>
  <c r="H150" i="15"/>
  <c r="P150" i="15"/>
  <c r="P151" i="15" s="1"/>
  <c r="O151" i="15"/>
  <c r="N150" i="15"/>
  <c r="M150" i="15"/>
  <c r="K150" i="15"/>
  <c r="I150" i="15"/>
  <c r="I151" i="15" s="1"/>
  <c r="F150" i="15"/>
  <c r="E150" i="15"/>
  <c r="Q127" i="15"/>
  <c r="P127" i="15"/>
  <c r="O126" i="15"/>
  <c r="O127" i="15" s="1"/>
  <c r="N126" i="15"/>
  <c r="M126" i="15"/>
  <c r="L126" i="15"/>
  <c r="L127" i="15" s="1"/>
  <c r="K126" i="15"/>
  <c r="J126" i="15"/>
  <c r="J127" i="15" s="1"/>
  <c r="I126" i="15"/>
  <c r="I127" i="15" s="1"/>
  <c r="F126" i="15"/>
  <c r="E126" i="15"/>
  <c r="O104" i="15"/>
  <c r="O105" i="15" s="1"/>
  <c r="P105" i="15"/>
  <c r="N104" i="15"/>
  <c r="M104" i="15"/>
  <c r="L104" i="15"/>
  <c r="L105" i="15" s="1"/>
  <c r="K104" i="15"/>
  <c r="J104" i="15"/>
  <c r="J105" i="15" s="1"/>
  <c r="I104" i="15"/>
  <c r="I105" i="15" s="1"/>
  <c r="F104" i="15"/>
  <c r="E104" i="15"/>
  <c r="M82" i="15"/>
  <c r="L82" i="15"/>
  <c r="L83" i="15" s="1"/>
  <c r="P82" i="15"/>
  <c r="P83" i="15" s="1"/>
  <c r="N82" i="15"/>
  <c r="K82" i="15"/>
  <c r="J82" i="15"/>
  <c r="J83" i="15" s="1"/>
  <c r="I82" i="15"/>
  <c r="I83" i="15" s="1"/>
  <c r="H82" i="15"/>
  <c r="F82" i="15"/>
  <c r="E82" i="15"/>
  <c r="D13" i="17"/>
  <c r="E13" i="17"/>
  <c r="P61" i="15"/>
  <c r="P62" i="15" s="1"/>
  <c r="O61" i="15"/>
  <c r="O62" i="15" s="1"/>
  <c r="N61" i="15"/>
  <c r="M61" i="15"/>
  <c r="L61" i="15"/>
  <c r="L62" i="15" s="1"/>
  <c r="K61" i="15"/>
  <c r="J61" i="15"/>
  <c r="J62" i="15" s="1"/>
  <c r="I61" i="15"/>
  <c r="I62" i="15" s="1"/>
  <c r="H61" i="15"/>
  <c r="G61" i="15"/>
  <c r="F61" i="15"/>
  <c r="D61" i="15"/>
  <c r="O46" i="15"/>
  <c r="O47" i="15" s="1"/>
  <c r="P46" i="15"/>
  <c r="P47" i="15" s="1"/>
  <c r="N46" i="15"/>
  <c r="M46" i="15"/>
  <c r="L46" i="15"/>
  <c r="L47" i="15" s="1"/>
  <c r="K46" i="15"/>
  <c r="J46" i="15"/>
  <c r="J47" i="15" s="1"/>
  <c r="I46" i="15"/>
  <c r="I47" i="15" s="1"/>
  <c r="H46" i="15"/>
  <c r="E46" i="15"/>
  <c r="D46" i="15"/>
  <c r="C37" i="16"/>
  <c r="Q22" i="15"/>
  <c r="E17" i="16"/>
  <c r="P21" i="15"/>
  <c r="N21" i="15"/>
  <c r="M21" i="15"/>
  <c r="K21" i="15"/>
  <c r="I21" i="15"/>
  <c r="I22" i="15" s="1"/>
  <c r="H21" i="15"/>
  <c r="E21" i="15"/>
  <c r="Q11" i="15"/>
  <c r="F10" i="15"/>
  <c r="G10" i="15"/>
  <c r="H10" i="15"/>
  <c r="I10" i="15"/>
  <c r="J10" i="15"/>
  <c r="K10" i="15"/>
  <c r="M10" i="15"/>
  <c r="N10" i="15"/>
  <c r="O10" i="15"/>
  <c r="P10" i="15"/>
  <c r="Q10" i="15"/>
  <c r="M80" i="21"/>
  <c r="J80" i="21"/>
  <c r="J79" i="21"/>
  <c r="J78" i="21"/>
  <c r="J77" i="21"/>
  <c r="K79" i="21"/>
  <c r="K73" i="21"/>
  <c r="K76" i="21"/>
  <c r="K74" i="21"/>
  <c r="J76" i="21"/>
  <c r="J74" i="21"/>
  <c r="H74" i="21"/>
  <c r="D15" i="21"/>
  <c r="I14" i="21"/>
  <c r="I18" i="21" s="1"/>
  <c r="D14" i="21"/>
  <c r="I8" i="21"/>
  <c r="D4" i="21"/>
  <c r="D22" i="21" s="1"/>
  <c r="D23" i="21" s="1"/>
  <c r="D5" i="21"/>
  <c r="D9" i="21" s="1"/>
  <c r="D19" i="21" s="1"/>
  <c r="F61" i="21"/>
  <c r="F62" i="21" s="1"/>
  <c r="D31" i="21" s="1"/>
  <c r="D68" i="21"/>
  <c r="D63" i="21"/>
  <c r="D46" i="21"/>
  <c r="I57" i="21"/>
  <c r="I56" i="21"/>
  <c r="F44" i="15"/>
  <c r="C26" i="12"/>
  <c r="I54" i="21"/>
  <c r="K54" i="21" s="1"/>
  <c r="I53" i="21"/>
  <c r="K53" i="21" s="1"/>
  <c r="K56" i="21" s="1"/>
  <c r="I4" i="21"/>
  <c r="K4" i="21" s="1"/>
  <c r="A49" i="21"/>
  <c r="C99" i="16"/>
  <c r="D98" i="20"/>
  <c r="D97" i="20"/>
  <c r="D90" i="20"/>
  <c r="D92" i="20"/>
  <c r="D91" i="20"/>
  <c r="D69" i="20"/>
  <c r="D73" i="20"/>
  <c r="D72" i="20"/>
  <c r="D63" i="20"/>
  <c r="D65" i="20" s="1"/>
  <c r="D10" i="20"/>
  <c r="D11" i="20"/>
  <c r="D40" i="20"/>
  <c r="D41" i="20"/>
  <c r="D33" i="20"/>
  <c r="D35" i="20" s="1"/>
  <c r="D27" i="20"/>
  <c r="D26" i="20"/>
  <c r="D7" i="20"/>
  <c r="D4" i="20"/>
  <c r="C90" i="16"/>
  <c r="G159" i="19"/>
  <c r="G158" i="19"/>
  <c r="F156" i="19"/>
  <c r="G156" i="19" s="1"/>
  <c r="R108" i="19"/>
  <c r="S108" i="19"/>
  <c r="Q107" i="19"/>
  <c r="T107" i="19"/>
  <c r="H149" i="19"/>
  <c r="D142" i="19"/>
  <c r="E142" i="19" s="1"/>
  <c r="F142" i="19" s="1"/>
  <c r="D143" i="19"/>
  <c r="E143" i="19" s="1"/>
  <c r="F143" i="19" s="1"/>
  <c r="D141" i="19"/>
  <c r="G141" i="19" s="1"/>
  <c r="K107" i="19"/>
  <c r="L107" i="19"/>
  <c r="M107" i="19"/>
  <c r="N107" i="19"/>
  <c r="N108" i="19" s="1"/>
  <c r="P107" i="19"/>
  <c r="P108" i="19" s="1"/>
  <c r="C30" i="16"/>
  <c r="H132" i="19" s="1"/>
  <c r="E132" i="19"/>
  <c r="C29" i="16"/>
  <c r="G132" i="19" s="1"/>
  <c r="C28" i="16"/>
  <c r="F132" i="19" s="1"/>
  <c r="E16" i="16"/>
  <c r="C16" i="16" s="1"/>
  <c r="C26" i="16" s="1"/>
  <c r="J132" i="19" s="1"/>
  <c r="E15" i="16"/>
  <c r="D115" i="19"/>
  <c r="E115" i="19" s="1"/>
  <c r="B117" i="19"/>
  <c r="D117" i="19" s="1"/>
  <c r="E117" i="19" s="1"/>
  <c r="B118" i="19"/>
  <c r="D118" i="19" s="1"/>
  <c r="H118" i="19" s="1"/>
  <c r="H131" i="19" s="1"/>
  <c r="B119" i="19"/>
  <c r="D119" i="19" s="1"/>
  <c r="F119" i="19" s="1"/>
  <c r="B120" i="19"/>
  <c r="D120" i="19" s="1"/>
  <c r="B121" i="19"/>
  <c r="D121" i="19" s="1"/>
  <c r="B122" i="19"/>
  <c r="D122" i="19" s="1"/>
  <c r="E122" i="19" s="1"/>
  <c r="B123" i="19"/>
  <c r="D123" i="19" s="1"/>
  <c r="E123" i="19" s="1"/>
  <c r="B124" i="19"/>
  <c r="D124" i="19" s="1"/>
  <c r="I124" i="19" s="1"/>
  <c r="B125" i="19"/>
  <c r="D125" i="19" s="1"/>
  <c r="B126" i="19"/>
  <c r="D126" i="19" s="1"/>
  <c r="B127" i="19"/>
  <c r="D127" i="19" s="1"/>
  <c r="E127" i="19" s="1"/>
  <c r="B128" i="19"/>
  <c r="D128" i="19" s="1"/>
  <c r="E128" i="19" s="1"/>
  <c r="B129" i="19"/>
  <c r="D129" i="19" s="1"/>
  <c r="J129" i="19" s="1"/>
  <c r="B130" i="19"/>
  <c r="D130" i="19" s="1"/>
  <c r="B116" i="19"/>
  <c r="D116" i="19" s="1"/>
  <c r="B64" i="19"/>
  <c r="D64" i="19" s="1"/>
  <c r="G64" i="19" s="1"/>
  <c r="B65" i="19"/>
  <c r="D65" i="19" s="1"/>
  <c r="G65" i="19" s="1"/>
  <c r="B66" i="19"/>
  <c r="D66" i="19" s="1"/>
  <c r="F66" i="19" s="1"/>
  <c r="O96" i="19"/>
  <c r="B87" i="19"/>
  <c r="D87" i="19" s="1"/>
  <c r="F87" i="19" s="1"/>
  <c r="B88" i="19"/>
  <c r="D88" i="19" s="1"/>
  <c r="F88" i="19" s="1"/>
  <c r="B89" i="19"/>
  <c r="D89" i="19" s="1"/>
  <c r="F89" i="19" s="1"/>
  <c r="B90" i="19"/>
  <c r="D90" i="19" s="1"/>
  <c r="F90" i="19" s="1"/>
  <c r="B91" i="19"/>
  <c r="D91" i="19" s="1"/>
  <c r="G91" i="19" s="1"/>
  <c r="B92" i="19"/>
  <c r="D92" i="19" s="1"/>
  <c r="F92" i="19" s="1"/>
  <c r="B93" i="19"/>
  <c r="D93" i="19" s="1"/>
  <c r="F93" i="19" s="1"/>
  <c r="B94" i="19"/>
  <c r="D94" i="19" s="1"/>
  <c r="E94" i="19" s="1"/>
  <c r="B95" i="19"/>
  <c r="D95" i="19" s="1"/>
  <c r="F95" i="19" s="1"/>
  <c r="B96" i="19"/>
  <c r="D96" i="19" s="1"/>
  <c r="F96" i="19" s="1"/>
  <c r="B97" i="19"/>
  <c r="D97" i="19" s="1"/>
  <c r="F97" i="19" s="1"/>
  <c r="B98" i="19"/>
  <c r="D98" i="19" s="1"/>
  <c r="G98" i="19" s="1"/>
  <c r="B99" i="19"/>
  <c r="D99" i="19" s="1"/>
  <c r="E99" i="19" s="1"/>
  <c r="B100" i="19"/>
  <c r="D100" i="19" s="1"/>
  <c r="E100" i="19" s="1"/>
  <c r="B101" i="19"/>
  <c r="D101" i="19" s="1"/>
  <c r="F101" i="19" s="1"/>
  <c r="B102" i="19"/>
  <c r="D102" i="19" s="1"/>
  <c r="G102" i="19" s="1"/>
  <c r="B103" i="19"/>
  <c r="D103" i="19" s="1"/>
  <c r="F103" i="19" s="1"/>
  <c r="B104" i="19"/>
  <c r="D104" i="19" s="1"/>
  <c r="F104" i="19" s="1"/>
  <c r="B105" i="19"/>
  <c r="D105" i="19" s="1"/>
  <c r="F105" i="19" s="1"/>
  <c r="B106" i="19"/>
  <c r="D106" i="19" s="1"/>
  <c r="F106" i="19" s="1"/>
  <c r="O79" i="19"/>
  <c r="B63" i="19"/>
  <c r="D63" i="19" s="1"/>
  <c r="G63" i="19" s="1"/>
  <c r="B67" i="19"/>
  <c r="D67" i="19" s="1"/>
  <c r="E67" i="19" s="1"/>
  <c r="B68" i="19"/>
  <c r="D68" i="19" s="1"/>
  <c r="J68" i="19" s="1"/>
  <c r="B69" i="19"/>
  <c r="D69" i="19" s="1"/>
  <c r="E69" i="19" s="1"/>
  <c r="B70" i="19"/>
  <c r="D70" i="19" s="1"/>
  <c r="J70" i="19" s="1"/>
  <c r="B71" i="19"/>
  <c r="D71" i="19" s="1"/>
  <c r="E71" i="19" s="1"/>
  <c r="B72" i="19"/>
  <c r="D72" i="19" s="1"/>
  <c r="E72" i="19" s="1"/>
  <c r="B73" i="19"/>
  <c r="D73" i="19" s="1"/>
  <c r="F73" i="19" s="1"/>
  <c r="B74" i="19"/>
  <c r="D74" i="19" s="1"/>
  <c r="G74" i="19" s="1"/>
  <c r="B75" i="19"/>
  <c r="D75" i="19" s="1"/>
  <c r="F75" i="19" s="1"/>
  <c r="B76" i="19"/>
  <c r="D76" i="19" s="1"/>
  <c r="G76" i="19" s="1"/>
  <c r="B77" i="19"/>
  <c r="D77" i="19" s="1"/>
  <c r="F77" i="19" s="1"/>
  <c r="B78" i="19"/>
  <c r="D78" i="19" s="1"/>
  <c r="G78" i="19" s="1"/>
  <c r="B79" i="19"/>
  <c r="D79" i="19" s="1"/>
  <c r="F79" i="19" s="1"/>
  <c r="B80" i="19"/>
  <c r="D80" i="19" s="1"/>
  <c r="E80" i="19" s="1"/>
  <c r="B81" i="19"/>
  <c r="D81" i="19" s="1"/>
  <c r="E81" i="19" s="1"/>
  <c r="B82" i="19"/>
  <c r="D82" i="19" s="1"/>
  <c r="H82" i="19" s="1"/>
  <c r="B83" i="19"/>
  <c r="D83" i="19" s="1"/>
  <c r="G83" i="19" s="1"/>
  <c r="B84" i="19"/>
  <c r="D84" i="19" s="1"/>
  <c r="E84" i="19" s="1"/>
  <c r="B85" i="19"/>
  <c r="D85" i="19" s="1"/>
  <c r="F85" i="19" s="1"/>
  <c r="B86" i="19"/>
  <c r="D86" i="19" s="1"/>
  <c r="G86" i="19" s="1"/>
  <c r="B51" i="19"/>
  <c r="D51" i="19" s="1"/>
  <c r="F51" i="19" s="1"/>
  <c r="B52" i="19"/>
  <c r="D52" i="19" s="1"/>
  <c r="F52" i="19" s="1"/>
  <c r="B53" i="19"/>
  <c r="D53" i="19" s="1"/>
  <c r="G53" i="19" s="1"/>
  <c r="B54" i="19"/>
  <c r="D54" i="19" s="1"/>
  <c r="G54" i="19" s="1"/>
  <c r="B55" i="19"/>
  <c r="D55" i="19" s="1"/>
  <c r="E55" i="19" s="1"/>
  <c r="B56" i="19"/>
  <c r="D56" i="19" s="1"/>
  <c r="F56" i="19" s="1"/>
  <c r="B57" i="19"/>
  <c r="D57" i="19" s="1"/>
  <c r="F57" i="19" s="1"/>
  <c r="B58" i="19"/>
  <c r="D58" i="19" s="1"/>
  <c r="F58" i="19" s="1"/>
  <c r="B59" i="19"/>
  <c r="D59" i="19" s="1"/>
  <c r="F59" i="19" s="1"/>
  <c r="B60" i="19"/>
  <c r="D60" i="19" s="1"/>
  <c r="F60" i="19" s="1"/>
  <c r="B61" i="19"/>
  <c r="B62" i="19"/>
  <c r="D62" i="19" s="1"/>
  <c r="I62" i="19" s="1"/>
  <c r="J46" i="19"/>
  <c r="E149" i="19" s="1"/>
  <c r="F149" i="19" s="1"/>
  <c r="B41" i="19"/>
  <c r="D41" i="19" s="1"/>
  <c r="G41" i="19" s="1"/>
  <c r="B42" i="19"/>
  <c r="D42" i="19" s="1"/>
  <c r="B30" i="19"/>
  <c r="D30" i="19" s="1"/>
  <c r="G30" i="19" s="1"/>
  <c r="B31" i="19"/>
  <c r="D31" i="19" s="1"/>
  <c r="F31" i="19" s="1"/>
  <c r="B32" i="19"/>
  <c r="D32" i="19" s="1"/>
  <c r="H32" i="19" s="1"/>
  <c r="B33" i="19"/>
  <c r="D33" i="19" s="1"/>
  <c r="H33" i="19" s="1"/>
  <c r="B34" i="19"/>
  <c r="D34" i="19" s="1"/>
  <c r="H34" i="19" s="1"/>
  <c r="B35" i="19"/>
  <c r="D35" i="19" s="1"/>
  <c r="H35" i="19" s="1"/>
  <c r="B36" i="19"/>
  <c r="D36" i="19" s="1"/>
  <c r="H36" i="19" s="1"/>
  <c r="B37" i="19"/>
  <c r="D37" i="19" s="1"/>
  <c r="H37" i="19" s="1"/>
  <c r="B38" i="19"/>
  <c r="D38" i="19" s="1"/>
  <c r="F38" i="19" s="1"/>
  <c r="B39" i="19"/>
  <c r="D39" i="19" s="1"/>
  <c r="E39" i="19" s="1"/>
  <c r="B40" i="19"/>
  <c r="D40" i="19" s="1"/>
  <c r="E40" i="19" s="1"/>
  <c r="B43" i="19"/>
  <c r="D43" i="19" s="1"/>
  <c r="G43" i="19" s="1"/>
  <c r="B44" i="19"/>
  <c r="D44" i="19" s="1"/>
  <c r="F44" i="19" s="1"/>
  <c r="B45" i="19"/>
  <c r="D45" i="19" s="1"/>
  <c r="E45" i="19" s="1"/>
  <c r="B46" i="19"/>
  <c r="D46" i="19" s="1"/>
  <c r="G46" i="19" s="1"/>
  <c r="B47" i="19"/>
  <c r="D47" i="19" s="1"/>
  <c r="G47" i="19" s="1"/>
  <c r="B48" i="19"/>
  <c r="D48" i="19" s="1"/>
  <c r="G48" i="19" s="1"/>
  <c r="B49" i="19"/>
  <c r="D49" i="19" s="1"/>
  <c r="E49" i="19" s="1"/>
  <c r="B50" i="19"/>
  <c r="D50" i="19" s="1"/>
  <c r="G50" i="19" s="1"/>
  <c r="D61" i="19"/>
  <c r="F61" i="19" s="1"/>
  <c r="B11" i="19"/>
  <c r="D11" i="19" s="1"/>
  <c r="F11" i="19" s="1"/>
  <c r="B12" i="19"/>
  <c r="D12" i="19" s="1"/>
  <c r="F12" i="19" s="1"/>
  <c r="B13" i="19"/>
  <c r="D13" i="19" s="1"/>
  <c r="F13" i="19" s="1"/>
  <c r="B14" i="19"/>
  <c r="D14" i="19" s="1"/>
  <c r="F14" i="19" s="1"/>
  <c r="B26" i="19"/>
  <c r="D26" i="19" s="1"/>
  <c r="G26" i="19" s="1"/>
  <c r="B27" i="19"/>
  <c r="D27" i="19" s="1"/>
  <c r="F27" i="19" s="1"/>
  <c r="B28" i="19"/>
  <c r="D28" i="19" s="1"/>
  <c r="G28" i="19" s="1"/>
  <c r="B29" i="19"/>
  <c r="D29" i="19" s="1"/>
  <c r="F29" i="19" s="1"/>
  <c r="B19" i="19"/>
  <c r="D19" i="19" s="1"/>
  <c r="E19" i="19" s="1"/>
  <c r="B20" i="19"/>
  <c r="D20" i="19" s="1"/>
  <c r="F20" i="19" s="1"/>
  <c r="B21" i="19"/>
  <c r="D21" i="19" s="1"/>
  <c r="G21" i="19" s="1"/>
  <c r="B22" i="19"/>
  <c r="D22" i="19" s="1"/>
  <c r="F22" i="19" s="1"/>
  <c r="B23" i="19"/>
  <c r="D23" i="19" s="1"/>
  <c r="G23" i="19" s="1"/>
  <c r="B24" i="19"/>
  <c r="D24" i="19" s="1"/>
  <c r="F24" i="19" s="1"/>
  <c r="B25" i="19"/>
  <c r="D25" i="19" s="1"/>
  <c r="G25" i="19" s="1"/>
  <c r="B7" i="19"/>
  <c r="D7" i="19" s="1"/>
  <c r="G7" i="19" s="1"/>
  <c r="B8" i="19"/>
  <c r="D8" i="19" s="1"/>
  <c r="F8" i="19" s="1"/>
  <c r="B9" i="19"/>
  <c r="D9" i="19" s="1"/>
  <c r="G9" i="19" s="1"/>
  <c r="B10" i="19"/>
  <c r="D10" i="19" s="1"/>
  <c r="F10" i="19" s="1"/>
  <c r="B15" i="19"/>
  <c r="D15" i="19" s="1"/>
  <c r="F15" i="19" s="1"/>
  <c r="B16" i="19"/>
  <c r="D16" i="19" s="1"/>
  <c r="F16" i="19" s="1"/>
  <c r="B17" i="19"/>
  <c r="D17" i="19" s="1"/>
  <c r="E17" i="19" s="1"/>
  <c r="B18" i="19"/>
  <c r="D18" i="19" s="1"/>
  <c r="E18" i="19" s="1"/>
  <c r="B6" i="19"/>
  <c r="D6" i="19" s="1"/>
  <c r="F6" i="19" s="1"/>
  <c r="D5" i="19"/>
  <c r="I5" i="19" s="1"/>
  <c r="I107" i="19" s="1"/>
  <c r="I108" i="19" s="1"/>
  <c r="G29" i="15"/>
  <c r="G44" i="15" s="1"/>
  <c r="G46" i="15" s="1"/>
  <c r="B9" i="15"/>
  <c r="D9" i="15" s="1"/>
  <c r="E9" i="15" s="1"/>
  <c r="G20" i="15"/>
  <c r="J20" i="15" s="1"/>
  <c r="O19" i="15"/>
  <c r="O21" i="15" s="1"/>
  <c r="O22" i="15" s="1"/>
  <c r="D19" i="15"/>
  <c r="L19" i="15" s="1"/>
  <c r="L21" i="15" s="1"/>
  <c r="L22" i="15" s="1"/>
  <c r="D55" i="15"/>
  <c r="E55" i="15" s="1"/>
  <c r="E61" i="15" s="1"/>
  <c r="D30" i="15"/>
  <c r="D29" i="15"/>
  <c r="B189" i="15"/>
  <c r="D189" i="15" s="1"/>
  <c r="E189" i="15" s="1"/>
  <c r="E190" i="15" s="1"/>
  <c r="B176" i="15"/>
  <c r="D176" i="15" s="1"/>
  <c r="G176" i="15" s="1"/>
  <c r="B175" i="15"/>
  <c r="D175" i="15" s="1"/>
  <c r="G175" i="15" s="1"/>
  <c r="B174" i="15"/>
  <c r="D174" i="15" s="1"/>
  <c r="F174" i="15" s="1"/>
  <c r="B202" i="15"/>
  <c r="D202" i="15" s="1"/>
  <c r="G202" i="15" s="1"/>
  <c r="B203" i="15"/>
  <c r="D203" i="15" s="1"/>
  <c r="G203" i="15" s="1"/>
  <c r="B204" i="15"/>
  <c r="D204" i="15" s="1"/>
  <c r="H204" i="15" s="1"/>
  <c r="B205" i="15"/>
  <c r="D205" i="15" s="1"/>
  <c r="G205" i="15" s="1"/>
  <c r="B206" i="15"/>
  <c r="D206" i="15" s="1"/>
  <c r="H206" i="15" s="1"/>
  <c r="B207" i="15"/>
  <c r="D207" i="15" s="1"/>
  <c r="G207" i="15" s="1"/>
  <c r="B208" i="15"/>
  <c r="D208" i="15" s="1"/>
  <c r="H208" i="15" s="1"/>
  <c r="B209" i="15"/>
  <c r="D209" i="15" s="1"/>
  <c r="H209" i="15" s="1"/>
  <c r="B210" i="15"/>
  <c r="D210" i="15" s="1"/>
  <c r="G210" i="15" s="1"/>
  <c r="B201" i="15"/>
  <c r="D201" i="15" s="1"/>
  <c r="G201" i="15" s="1"/>
  <c r="B221" i="15"/>
  <c r="D221" i="15" s="1"/>
  <c r="F221" i="15" s="1"/>
  <c r="B222" i="15"/>
  <c r="D222" i="15" s="1"/>
  <c r="H222" i="15" s="1"/>
  <c r="B223" i="15"/>
  <c r="D223" i="15" s="1"/>
  <c r="F223" i="15" s="1"/>
  <c r="B224" i="15"/>
  <c r="D224" i="15" s="1"/>
  <c r="H224" i="15" s="1"/>
  <c r="B225" i="15"/>
  <c r="D225" i="15" s="1"/>
  <c r="F225" i="15" s="1"/>
  <c r="B226" i="15"/>
  <c r="D226" i="15" s="1"/>
  <c r="F226" i="15" s="1"/>
  <c r="B227" i="15"/>
  <c r="D227" i="15" s="1"/>
  <c r="F227" i="15" s="1"/>
  <c r="B228" i="15"/>
  <c r="D228" i="15" s="1"/>
  <c r="F228" i="15" s="1"/>
  <c r="B229" i="15"/>
  <c r="D229" i="15" s="1"/>
  <c r="H229" i="15" s="1"/>
  <c r="B230" i="15"/>
  <c r="D230" i="15" s="1"/>
  <c r="F230" i="15" s="1"/>
  <c r="B231" i="15"/>
  <c r="D231" i="15" s="1"/>
  <c r="H231" i="15" s="1"/>
  <c r="B232" i="15"/>
  <c r="D232" i="15" s="1"/>
  <c r="F232" i="15" s="1"/>
  <c r="B220" i="15"/>
  <c r="D220" i="15" s="1"/>
  <c r="F220" i="15" s="1"/>
  <c r="D219" i="15"/>
  <c r="F219" i="15" s="1"/>
  <c r="D8" i="15"/>
  <c r="E8" i="15" s="1"/>
  <c r="D188" i="15"/>
  <c r="I188" i="15" s="1"/>
  <c r="D187" i="15"/>
  <c r="I187" i="15" s="1"/>
  <c r="D173" i="15"/>
  <c r="F173" i="15" s="1"/>
  <c r="D171" i="15"/>
  <c r="I171" i="15" s="1"/>
  <c r="D200" i="15"/>
  <c r="H200" i="15" s="1"/>
  <c r="F46" i="15" l="1"/>
  <c r="G45" i="15"/>
  <c r="D158" i="20"/>
  <c r="D159" i="20" s="1"/>
  <c r="I29" i="17" s="1"/>
  <c r="B203" i="13" s="1"/>
  <c r="M322" i="15"/>
  <c r="B421" i="13" s="1"/>
  <c r="E10" i="17"/>
  <c r="B73" i="13"/>
  <c r="O180" i="15"/>
  <c r="T182" i="15" s="1"/>
  <c r="O12" i="17" s="1"/>
  <c r="O19" i="17" s="1"/>
  <c r="O191" i="15"/>
  <c r="T193" i="15" s="1"/>
  <c r="P12" i="17" s="1"/>
  <c r="D147" i="20"/>
  <c r="D148" i="20" s="1"/>
  <c r="H29" i="17" s="1"/>
  <c r="B235" i="13" s="1"/>
  <c r="D137" i="20"/>
  <c r="D138" i="20" s="1"/>
  <c r="G29" i="17" s="1"/>
  <c r="B219" i="13" s="1"/>
  <c r="D243" i="20"/>
  <c r="D244" i="20" s="1"/>
  <c r="Z29" i="17" s="1"/>
  <c r="B439" i="13" s="1"/>
  <c r="D195" i="20"/>
  <c r="D196" i="20" s="1"/>
  <c r="V29" i="17" s="1"/>
  <c r="B354" i="13" s="1"/>
  <c r="D226" i="20"/>
  <c r="D227" i="20" s="1"/>
  <c r="Y29" i="17" s="1"/>
  <c r="B405" i="13" s="1"/>
  <c r="D74" i="20"/>
  <c r="D75" i="20" s="1"/>
  <c r="C29" i="17" s="1"/>
  <c r="B138" i="13" s="1"/>
  <c r="D185" i="20"/>
  <c r="D59" i="20"/>
  <c r="D60" i="20" s="1"/>
  <c r="M29" i="17" s="1"/>
  <c r="B67" i="13" s="1"/>
  <c r="D175" i="20"/>
  <c r="D176" i="20" s="1"/>
  <c r="K29" i="17" s="1"/>
  <c r="B270" i="13" s="1"/>
  <c r="D128" i="20"/>
  <c r="D129" i="20" s="1"/>
  <c r="R29" i="17" s="1"/>
  <c r="B320" i="13" s="1"/>
  <c r="D108" i="20"/>
  <c r="D109" i="20" s="1"/>
  <c r="T29" i="17" s="1"/>
  <c r="B303" i="13" s="1"/>
  <c r="D205" i="20"/>
  <c r="D206" i="20" s="1"/>
  <c r="W29" i="17" s="1"/>
  <c r="B371" i="13" s="1"/>
  <c r="D43" i="20"/>
  <c r="D215" i="20"/>
  <c r="D216" i="20" s="1"/>
  <c r="X29" i="17" s="1"/>
  <c r="B388" i="13" s="1"/>
  <c r="D13" i="20"/>
  <c r="D118" i="20"/>
  <c r="D119" i="20" s="1"/>
  <c r="S29" i="17" s="1"/>
  <c r="B287" i="13" s="1"/>
  <c r="D28" i="20"/>
  <c r="D29" i="20" s="1"/>
  <c r="D29" i="17" s="1"/>
  <c r="D93" i="20"/>
  <c r="D94" i="20" s="1"/>
  <c r="D99" i="20" s="1"/>
  <c r="D100" i="20" s="1"/>
  <c r="P29" i="17" s="1"/>
  <c r="B167" i="13" s="1"/>
  <c r="D254" i="20"/>
  <c r="AA29" i="17" s="1"/>
  <c r="B456" i="13" s="1"/>
  <c r="M273" i="19"/>
  <c r="D66" i="20"/>
  <c r="B29" i="17" s="1"/>
  <c r="D36" i="20"/>
  <c r="M206" i="19"/>
  <c r="M180" i="15"/>
  <c r="Q47" i="15"/>
  <c r="T49" i="15" s="1"/>
  <c r="D12" i="17" s="1"/>
  <c r="C17" i="16"/>
  <c r="M83" i="15"/>
  <c r="K344" i="15"/>
  <c r="M164" i="15"/>
  <c r="K265" i="15"/>
  <c r="K151" i="15"/>
  <c r="M151" i="15"/>
  <c r="K247" i="15"/>
  <c r="K127" i="15"/>
  <c r="K330" i="15"/>
  <c r="K22" i="15"/>
  <c r="K105" i="15"/>
  <c r="K234" i="15"/>
  <c r="M22" i="15"/>
  <c r="K47" i="15"/>
  <c r="K62" i="15"/>
  <c r="M127" i="15"/>
  <c r="K191" i="15"/>
  <c r="K212" i="15"/>
  <c r="M105" i="15"/>
  <c r="M234" i="15"/>
  <c r="M47" i="15"/>
  <c r="M62" i="15"/>
  <c r="K83" i="15"/>
  <c r="M191" i="15"/>
  <c r="M212" i="15"/>
  <c r="T275" i="19"/>
  <c r="M12" i="17" s="1"/>
  <c r="M19" i="17" s="1"/>
  <c r="D205" i="19"/>
  <c r="T208" i="19"/>
  <c r="N12" i="17" s="1"/>
  <c r="N19" i="17" s="1"/>
  <c r="Q15" i="17"/>
  <c r="Q16" i="17" s="1"/>
  <c r="Q20" i="17" s="1"/>
  <c r="Q21" i="17" s="1"/>
  <c r="T13" i="15"/>
  <c r="B12" i="17" s="1"/>
  <c r="B19" i="17" s="1"/>
  <c r="T366" i="15"/>
  <c r="AA12" i="17" s="1"/>
  <c r="AA19" i="17" s="1"/>
  <c r="T285" i="15"/>
  <c r="W12" i="17" s="1"/>
  <c r="W19" i="17" s="1"/>
  <c r="T249" i="15"/>
  <c r="U12" i="17" s="1"/>
  <c r="U19" i="17" s="1"/>
  <c r="F233" i="15"/>
  <c r="H233" i="15"/>
  <c r="D233" i="15"/>
  <c r="T236" i="15"/>
  <c r="T12" i="17" s="1"/>
  <c r="T19" i="17" s="1"/>
  <c r="T214" i="15"/>
  <c r="R12" i="17" s="1"/>
  <c r="R19" i="17" s="1"/>
  <c r="G179" i="15"/>
  <c r="H211" i="15"/>
  <c r="G211" i="15"/>
  <c r="D211" i="15"/>
  <c r="I190" i="15"/>
  <c r="I191" i="15" s="1"/>
  <c r="D190" i="15"/>
  <c r="F179" i="15"/>
  <c r="K179" i="15" s="1"/>
  <c r="K180" i="15" s="1"/>
  <c r="D179" i="15"/>
  <c r="T166" i="15"/>
  <c r="S12" i="17" s="1"/>
  <c r="S19" i="17" s="1"/>
  <c r="T129" i="15"/>
  <c r="I12" i="17" s="1"/>
  <c r="I19" i="17" s="1"/>
  <c r="T107" i="15"/>
  <c r="H12" i="17" s="1"/>
  <c r="H19" i="17" s="1"/>
  <c r="T64" i="15"/>
  <c r="E12" i="17" s="1"/>
  <c r="E19" i="17" s="1"/>
  <c r="T24" i="15"/>
  <c r="C12" i="17" s="1"/>
  <c r="C19" i="17" s="1"/>
  <c r="D21" i="15"/>
  <c r="E10" i="15"/>
  <c r="G21" i="15"/>
  <c r="D10" i="15"/>
  <c r="D16" i="21"/>
  <c r="J14" i="21" s="1"/>
  <c r="H14" i="21"/>
  <c r="D6" i="21"/>
  <c r="L54" i="21"/>
  <c r="K57" i="21"/>
  <c r="H4" i="21"/>
  <c r="D51" i="21"/>
  <c r="J51" i="21" s="1"/>
  <c r="G160" i="19"/>
  <c r="F70" i="19"/>
  <c r="G68" i="19"/>
  <c r="G107" i="19" s="1"/>
  <c r="E119" i="19"/>
  <c r="E130" i="19"/>
  <c r="F130" i="19"/>
  <c r="F123" i="19"/>
  <c r="F122" i="19"/>
  <c r="O107" i="19"/>
  <c r="O108" i="19" s="1"/>
  <c r="S111" i="19" s="1"/>
  <c r="H107" i="19"/>
  <c r="E116" i="19"/>
  <c r="D131" i="19"/>
  <c r="L10" i="17" s="1"/>
  <c r="L47" i="17" s="1"/>
  <c r="J121" i="19"/>
  <c r="J131" i="19" s="1"/>
  <c r="J133" i="19" s="1"/>
  <c r="I121" i="19"/>
  <c r="G149" i="19"/>
  <c r="H151" i="19" s="1"/>
  <c r="E126" i="19"/>
  <c r="F126" i="19"/>
  <c r="E107" i="19"/>
  <c r="F125" i="19"/>
  <c r="E125" i="19"/>
  <c r="F120" i="19"/>
  <c r="E120" i="19"/>
  <c r="G122" i="19"/>
  <c r="G131" i="19" s="1"/>
  <c r="G133" i="19" s="1"/>
  <c r="E141" i="19"/>
  <c r="G143" i="19"/>
  <c r="F127" i="19"/>
  <c r="G142" i="19"/>
  <c r="I118" i="19"/>
  <c r="H133" i="19"/>
  <c r="F117" i="19"/>
  <c r="J107" i="19"/>
  <c r="I129" i="19"/>
  <c r="C22" i="16"/>
  <c r="C24" i="16"/>
  <c r="D107" i="19"/>
  <c r="F42" i="19"/>
  <c r="L8" i="15"/>
  <c r="L10" i="15" s="1"/>
  <c r="L11" i="15" s="1"/>
  <c r="F19" i="15"/>
  <c r="F21" i="15" s="1"/>
  <c r="J19" i="15"/>
  <c r="J21" i="15" s="1"/>
  <c r="J22" i="15" s="1"/>
  <c r="I173" i="15"/>
  <c r="I179" i="15" s="1"/>
  <c r="I180" i="15" s="1"/>
  <c r="J159" i="15"/>
  <c r="J163" i="15" s="1"/>
  <c r="J164" i="15" s="1"/>
  <c r="B160" i="15"/>
  <c r="D160" i="15" s="1"/>
  <c r="G160" i="15" s="1"/>
  <c r="B161" i="15"/>
  <c r="D161" i="15" s="1"/>
  <c r="H161" i="15" s="1"/>
  <c r="H163" i="15" s="1"/>
  <c r="B162" i="15"/>
  <c r="D162" i="15" s="1"/>
  <c r="G162" i="15" s="1"/>
  <c r="B159" i="15"/>
  <c r="C109" i="16"/>
  <c r="C108" i="16"/>
  <c r="B115" i="15"/>
  <c r="D115" i="15" s="1"/>
  <c r="G115" i="15" s="1"/>
  <c r="B116" i="15"/>
  <c r="D116" i="15" s="1"/>
  <c r="H116" i="15" s="1"/>
  <c r="B117" i="15"/>
  <c r="D117" i="15" s="1"/>
  <c r="G117" i="15" s="1"/>
  <c r="B118" i="15"/>
  <c r="D118" i="15" s="1"/>
  <c r="H118" i="15" s="1"/>
  <c r="B119" i="15"/>
  <c r="D119" i="15" s="1"/>
  <c r="G119" i="15" s="1"/>
  <c r="B120" i="15"/>
  <c r="D120" i="15" s="1"/>
  <c r="H120" i="15" s="1"/>
  <c r="B121" i="15"/>
  <c r="D121" i="15" s="1"/>
  <c r="G121" i="15" s="1"/>
  <c r="B122" i="15"/>
  <c r="D122" i="15" s="1"/>
  <c r="H122" i="15" s="1"/>
  <c r="B123" i="15"/>
  <c r="D123" i="15" s="1"/>
  <c r="G123" i="15" s="1"/>
  <c r="B124" i="15"/>
  <c r="D124" i="15" s="1"/>
  <c r="H124" i="15" s="1"/>
  <c r="B125" i="15"/>
  <c r="D125" i="15" s="1"/>
  <c r="G125" i="15" s="1"/>
  <c r="B114" i="15"/>
  <c r="D186" i="20" l="1"/>
  <c r="D256" i="20"/>
  <c r="B92" i="13"/>
  <c r="D10" i="17"/>
  <c r="D47" i="17" s="1"/>
  <c r="B120" i="13"/>
  <c r="D14" i="20"/>
  <c r="O29" i="17"/>
  <c r="B185" i="13" s="1"/>
  <c r="D19" i="17"/>
  <c r="O160" i="19"/>
  <c r="L12" i="17" s="1"/>
  <c r="L19" i="17" s="1"/>
  <c r="P19" i="17"/>
  <c r="G168" i="19"/>
  <c r="Q22" i="17"/>
  <c r="Q23" i="17" s="1"/>
  <c r="Q24" i="17" s="1"/>
  <c r="J4" i="21"/>
  <c r="D73" i="21"/>
  <c r="J73" i="21" s="1"/>
  <c r="J75" i="21" s="1"/>
  <c r="F23" i="21"/>
  <c r="D24" i="21"/>
  <c r="D25" i="21" s="1"/>
  <c r="D26" i="21" s="1"/>
  <c r="D27" i="21" s="1"/>
  <c r="D28" i="21" s="1"/>
  <c r="D29" i="21" s="1"/>
  <c r="D18" i="21" s="1"/>
  <c r="D20" i="21" s="1"/>
  <c r="J18" i="21" s="1"/>
  <c r="F107" i="19"/>
  <c r="F131" i="19"/>
  <c r="F133" i="19" s="1"/>
  <c r="G144" i="19"/>
  <c r="E131" i="19"/>
  <c r="E133" i="19" s="1"/>
  <c r="I131" i="19"/>
  <c r="F141" i="19"/>
  <c r="F144" i="19" s="1"/>
  <c r="E144" i="19"/>
  <c r="C111" i="16"/>
  <c r="C39" i="16" s="1"/>
  <c r="B103" i="15"/>
  <c r="D103" i="15" s="1"/>
  <c r="G103" i="15" s="1"/>
  <c r="B93" i="15"/>
  <c r="D93" i="15" s="1"/>
  <c r="G93" i="15" s="1"/>
  <c r="B94" i="15"/>
  <c r="D94" i="15" s="1"/>
  <c r="H94" i="15" s="1"/>
  <c r="B95" i="15"/>
  <c r="D95" i="15" s="1"/>
  <c r="G95" i="15" s="1"/>
  <c r="B96" i="15"/>
  <c r="D96" i="15" s="1"/>
  <c r="H96" i="15" s="1"/>
  <c r="B97" i="15"/>
  <c r="D97" i="15" s="1"/>
  <c r="G97" i="15" s="1"/>
  <c r="B98" i="15"/>
  <c r="D98" i="15" s="1"/>
  <c r="H98" i="15" s="1"/>
  <c r="B99" i="15"/>
  <c r="D99" i="15" s="1"/>
  <c r="G99" i="15" s="1"/>
  <c r="B100" i="15"/>
  <c r="D100" i="15" s="1"/>
  <c r="H100" i="15" s="1"/>
  <c r="B101" i="15"/>
  <c r="D101" i="15" s="1"/>
  <c r="G101" i="15" s="1"/>
  <c r="B102" i="15"/>
  <c r="D102" i="15" s="1"/>
  <c r="H102" i="15" s="1"/>
  <c r="B92" i="15"/>
  <c r="D92" i="15" s="1"/>
  <c r="H92" i="15" s="1"/>
  <c r="D159" i="15"/>
  <c r="G159" i="15" s="1"/>
  <c r="D158" i="15"/>
  <c r="D149" i="15"/>
  <c r="D148" i="15"/>
  <c r="D114" i="15"/>
  <c r="H114" i="15" s="1"/>
  <c r="H126" i="15" s="1"/>
  <c r="D113" i="15"/>
  <c r="D91" i="15"/>
  <c r="O79" i="15"/>
  <c r="O82" i="15" s="1"/>
  <c r="O83" i="15" s="1"/>
  <c r="T85" i="15" s="1"/>
  <c r="G12" i="17" s="1"/>
  <c r="G19" i="17" s="1"/>
  <c r="Q244" i="15"/>
  <c r="B243" i="15"/>
  <c r="D243" i="15" s="1"/>
  <c r="L243" i="15" s="1"/>
  <c r="B244" i="15"/>
  <c r="D244" i="15" s="1"/>
  <c r="B245" i="15"/>
  <c r="D245" i="15" s="1"/>
  <c r="L245" i="15" s="1"/>
  <c r="B256" i="15"/>
  <c r="D256" i="15" s="1"/>
  <c r="H256" i="15" s="1"/>
  <c r="B257" i="15"/>
  <c r="D257" i="15" s="1"/>
  <c r="B258" i="15"/>
  <c r="D258" i="15" s="1"/>
  <c r="B259" i="15"/>
  <c r="D259" i="15" s="1"/>
  <c r="B260" i="15"/>
  <c r="D260" i="15" s="1"/>
  <c r="M260" i="15" s="1"/>
  <c r="B261" i="15"/>
  <c r="D261" i="15" s="1"/>
  <c r="L261" i="15" s="1"/>
  <c r="B262" i="15"/>
  <c r="D262" i="15" s="1"/>
  <c r="L262" i="15" s="1"/>
  <c r="B263" i="15"/>
  <c r="D263" i="15" s="1"/>
  <c r="L263" i="15" s="1"/>
  <c r="B275" i="15"/>
  <c r="D275" i="15" s="1"/>
  <c r="B276" i="15"/>
  <c r="D276" i="15" s="1"/>
  <c r="L276" i="15" s="1"/>
  <c r="B277" i="15"/>
  <c r="D277" i="15" s="1"/>
  <c r="M277" i="15" s="1"/>
  <c r="B278" i="15"/>
  <c r="D278" i="15" s="1"/>
  <c r="B279" i="15"/>
  <c r="D279" i="15" s="1"/>
  <c r="B280" i="15"/>
  <c r="D280" i="15" s="1"/>
  <c r="B281" i="15"/>
  <c r="D281" i="15" s="1"/>
  <c r="D297" i="15"/>
  <c r="K297" i="15" s="1"/>
  <c r="Q298" i="15"/>
  <c r="Q300" i="15" s="1"/>
  <c r="T302" i="15" s="1"/>
  <c r="X12" i="17" s="1"/>
  <c r="X19" i="17" s="1"/>
  <c r="B294" i="15"/>
  <c r="D294" i="15" s="1"/>
  <c r="F294" i="15" s="1"/>
  <c r="B295" i="15"/>
  <c r="D295" i="15" s="1"/>
  <c r="F295" i="15" s="1"/>
  <c r="B298" i="15"/>
  <c r="D298" i="15" s="1"/>
  <c r="M298" i="15" s="1"/>
  <c r="Q342" i="15"/>
  <c r="Q344" i="15" s="1"/>
  <c r="Q312" i="15"/>
  <c r="Q316" i="15" s="1"/>
  <c r="B354" i="15"/>
  <c r="D354" i="15" s="1"/>
  <c r="J354" i="15" s="1"/>
  <c r="B355" i="15"/>
  <c r="D355" i="15" s="1"/>
  <c r="F355" i="15" s="1"/>
  <c r="L355" i="15" s="1"/>
  <c r="B356" i="15"/>
  <c r="D356" i="15" s="1"/>
  <c r="F356" i="15" s="1"/>
  <c r="K356" i="15" s="1"/>
  <c r="B357" i="15"/>
  <c r="D357" i="15" s="1"/>
  <c r="F357" i="15" s="1"/>
  <c r="K357" i="15" s="1"/>
  <c r="B358" i="15"/>
  <c r="D358" i="15" s="1"/>
  <c r="F358" i="15" s="1"/>
  <c r="K358" i="15" s="1"/>
  <c r="B359" i="15"/>
  <c r="D359" i="15" s="1"/>
  <c r="F359" i="15" s="1"/>
  <c r="K359" i="15" s="1"/>
  <c r="B360" i="15"/>
  <c r="D360" i="15" s="1"/>
  <c r="F360" i="15" s="1"/>
  <c r="K360" i="15" s="1"/>
  <c r="B361" i="15"/>
  <c r="D361" i="15" s="1"/>
  <c r="B362" i="15"/>
  <c r="D362" i="15" s="1"/>
  <c r="F362" i="15" s="1"/>
  <c r="L362" i="15" s="1"/>
  <c r="B353" i="15"/>
  <c r="D353" i="15" s="1"/>
  <c r="J353" i="15" s="1"/>
  <c r="D80" i="15"/>
  <c r="D82" i="15" s="1"/>
  <c r="D79" i="15"/>
  <c r="B242" i="15"/>
  <c r="D242" i="15" s="1"/>
  <c r="D241" i="15"/>
  <c r="B255" i="15"/>
  <c r="D255" i="15" s="1"/>
  <c r="O255" i="15" s="1"/>
  <c r="O264" i="15" s="1"/>
  <c r="O265" i="15" s="1"/>
  <c r="T267" i="15" s="1"/>
  <c r="V12" i="17" s="1"/>
  <c r="V19" i="17" s="1"/>
  <c r="D254" i="15"/>
  <c r="B274" i="15"/>
  <c r="D274" i="15" s="1"/>
  <c r="M274" i="15" s="1"/>
  <c r="D273" i="15"/>
  <c r="B293" i="15"/>
  <c r="D293" i="15" s="1"/>
  <c r="F293" i="15" s="1"/>
  <c r="D292" i="15"/>
  <c r="D352" i="15"/>
  <c r="B339" i="15"/>
  <c r="D339" i="15" s="1"/>
  <c r="H339" i="15" s="1"/>
  <c r="B340" i="15"/>
  <c r="D340" i="15" s="1"/>
  <c r="O340" i="15" s="1"/>
  <c r="B341" i="15"/>
  <c r="D341" i="15" s="1"/>
  <c r="H341" i="15" s="1"/>
  <c r="B342" i="15"/>
  <c r="D342" i="15" s="1"/>
  <c r="O342" i="15" s="1"/>
  <c r="B338" i="15"/>
  <c r="D338" i="15" s="1"/>
  <c r="O338" i="15" s="1"/>
  <c r="D337" i="15"/>
  <c r="D328" i="15"/>
  <c r="E328" i="15" s="1"/>
  <c r="E329" i="15" s="1"/>
  <c r="D327" i="15"/>
  <c r="B311" i="15"/>
  <c r="D311" i="15" s="1"/>
  <c r="H311" i="15" s="1"/>
  <c r="H315" i="15" s="1"/>
  <c r="H316" i="15" s="1"/>
  <c r="B312" i="15"/>
  <c r="D312" i="15" s="1"/>
  <c r="O312" i="15" s="1"/>
  <c r="D309" i="15"/>
  <c r="F309" i="15" s="1"/>
  <c r="B310" i="15"/>
  <c r="D310" i="15" s="1"/>
  <c r="O310" i="15" s="1"/>
  <c r="C87" i="16"/>
  <c r="M244" i="15" l="1"/>
  <c r="L244" i="15"/>
  <c r="L246" i="15"/>
  <c r="L247" i="15" s="1"/>
  <c r="U29" i="17"/>
  <c r="B337" i="13" s="1"/>
  <c r="D257" i="20"/>
  <c r="G79" i="15"/>
  <c r="G82" i="15" s="1"/>
  <c r="G10" i="17"/>
  <c r="G47" i="17" s="1"/>
  <c r="B104" i="13"/>
  <c r="E29" i="17"/>
  <c r="B85" i="13" s="1"/>
  <c r="Q25" i="17"/>
  <c r="Q26" i="17" s="1"/>
  <c r="D315" i="15"/>
  <c r="Y10" i="17" s="1"/>
  <c r="H343" i="15"/>
  <c r="F352" i="15"/>
  <c r="D363" i="15"/>
  <c r="K363" i="15"/>
  <c r="K364" i="15" s="1"/>
  <c r="J337" i="15"/>
  <c r="J343" i="15" s="1"/>
  <c r="J344" i="15" s="1"/>
  <c r="D343" i="15"/>
  <c r="O343" i="15"/>
  <c r="O344" i="15" s="1"/>
  <c r="T346" i="15" s="1"/>
  <c r="O315" i="15"/>
  <c r="O316" i="15" s="1"/>
  <c r="O327" i="15"/>
  <c r="D329" i="15"/>
  <c r="F315" i="15"/>
  <c r="M282" i="15"/>
  <c r="M283" i="15" s="1"/>
  <c r="F292" i="15"/>
  <c r="F299" i="15" s="1"/>
  <c r="D299" i="15"/>
  <c r="J273" i="15"/>
  <c r="D282" i="15"/>
  <c r="H254" i="15"/>
  <c r="D264" i="15"/>
  <c r="E241" i="15"/>
  <c r="E246" i="15" s="1"/>
  <c r="D246" i="15"/>
  <c r="G158" i="15"/>
  <c r="G163" i="15" s="1"/>
  <c r="D163" i="15"/>
  <c r="D150" i="15"/>
  <c r="G113" i="15"/>
  <c r="G126" i="15" s="1"/>
  <c r="D126" i="15"/>
  <c r="H104" i="15"/>
  <c r="H105" i="15" s="1"/>
  <c r="G91" i="15"/>
  <c r="G104" i="15" s="1"/>
  <c r="G105" i="15" s="1"/>
  <c r="D104" i="15"/>
  <c r="D79" i="21"/>
  <c r="D80" i="21"/>
  <c r="D33" i="21"/>
  <c r="D8" i="21"/>
  <c r="D10" i="21" s="1"/>
  <c r="J8" i="21" s="1"/>
  <c r="D108" i="19"/>
  <c r="G145" i="19"/>
  <c r="J148" i="15"/>
  <c r="J150" i="15" s="1"/>
  <c r="J151" i="15" s="1"/>
  <c r="L148" i="15"/>
  <c r="L150" i="15" s="1"/>
  <c r="L151" i="15" s="1"/>
  <c r="G148" i="15"/>
  <c r="M245" i="15"/>
  <c r="H245" i="15"/>
  <c r="H243" i="15"/>
  <c r="H244" i="15"/>
  <c r="M258" i="15"/>
  <c r="H258" i="15"/>
  <c r="H259" i="15"/>
  <c r="M259" i="15"/>
  <c r="H257" i="15"/>
  <c r="M257" i="15"/>
  <c r="G261" i="15"/>
  <c r="G264" i="15" s="1"/>
  <c r="H260" i="15"/>
  <c r="L254" i="15"/>
  <c r="L264" i="15" s="1"/>
  <c r="L265" i="15" s="1"/>
  <c r="M256" i="15"/>
  <c r="F275" i="15"/>
  <c r="J275" i="15"/>
  <c r="L275" i="15" s="1"/>
  <c r="F273" i="15"/>
  <c r="L278" i="15"/>
  <c r="H278" i="15"/>
  <c r="L280" i="15"/>
  <c r="G280" i="15"/>
  <c r="G282" i="15" s="1"/>
  <c r="J281" i="15"/>
  <c r="L281" i="15"/>
  <c r="F281" i="15"/>
  <c r="L279" i="15"/>
  <c r="H279" i="15"/>
  <c r="F277" i="15"/>
  <c r="K274" i="15"/>
  <c r="F276" i="15"/>
  <c r="J276" i="15"/>
  <c r="K277" i="15"/>
  <c r="F274" i="15"/>
  <c r="M297" i="15"/>
  <c r="M299" i="15" s="1"/>
  <c r="M300" i="15" s="1"/>
  <c r="H298" i="15"/>
  <c r="K298" i="15"/>
  <c r="K299" i="15" s="1"/>
  <c r="K300" i="15" s="1"/>
  <c r="J328" i="15"/>
  <c r="J329" i="15" s="1"/>
  <c r="J330" i="15" s="1"/>
  <c r="R309" i="15"/>
  <c r="R315" i="15" s="1"/>
  <c r="R316" i="15" s="1"/>
  <c r="H297" i="15"/>
  <c r="M356" i="15"/>
  <c r="M359" i="15"/>
  <c r="M357" i="15"/>
  <c r="L328" i="15"/>
  <c r="L329" i="15" s="1"/>
  <c r="L330" i="15" s="1"/>
  <c r="M341" i="15"/>
  <c r="J352" i="15"/>
  <c r="M309" i="15"/>
  <c r="M358" i="15"/>
  <c r="M312" i="15"/>
  <c r="M311" i="15"/>
  <c r="M310" i="15"/>
  <c r="M360" i="15"/>
  <c r="M339" i="15"/>
  <c r="F361" i="15"/>
  <c r="L361" i="15" s="1"/>
  <c r="J361" i="15"/>
  <c r="F353" i="15"/>
  <c r="L353" i="15" s="1"/>
  <c r="F354" i="15"/>
  <c r="L354" i="15" s="1"/>
  <c r="J362" i="15"/>
  <c r="J355" i="15"/>
  <c r="E337" i="15"/>
  <c r="E343" i="15" s="1"/>
  <c r="E344" i="15" s="1"/>
  <c r="AA8" i="17"/>
  <c r="U8" i="17"/>
  <c r="T8" i="17"/>
  <c r="R8" i="17"/>
  <c r="Q8" i="17"/>
  <c r="S8" i="17"/>
  <c r="K8" i="17"/>
  <c r="I8" i="17"/>
  <c r="H8" i="17"/>
  <c r="M8" i="17"/>
  <c r="E8" i="17"/>
  <c r="D8" i="17"/>
  <c r="C8" i="17"/>
  <c r="C15" i="16"/>
  <c r="C9" i="16"/>
  <c r="C78" i="16"/>
  <c r="C8" i="16"/>
  <c r="C7" i="16"/>
  <c r="C6" i="16"/>
  <c r="M246" i="15" l="1"/>
  <c r="M247" i="15" s="1"/>
  <c r="Q28" i="17"/>
  <c r="Q50" i="17"/>
  <c r="M315" i="15"/>
  <c r="M316" i="15" s="1"/>
  <c r="H299" i="15"/>
  <c r="H300" i="15" s="1"/>
  <c r="M343" i="15"/>
  <c r="M344" i="15" s="1"/>
  <c r="O329" i="15"/>
  <c r="O330" i="15" s="1"/>
  <c r="T332" i="15" s="1"/>
  <c r="Z12" i="17" s="1"/>
  <c r="Z19" i="17" s="1"/>
  <c r="AA10" i="17"/>
  <c r="AA47" i="17" s="1"/>
  <c r="B52" i="17" s="1"/>
  <c r="C45" i="12"/>
  <c r="Z10" i="17"/>
  <c r="G127" i="15"/>
  <c r="G265" i="15"/>
  <c r="F300" i="15"/>
  <c r="G283" i="15"/>
  <c r="F316" i="15"/>
  <c r="E273" i="19"/>
  <c r="E151" i="15"/>
  <c r="E212" i="15"/>
  <c r="E283" i="15"/>
  <c r="E300" i="15"/>
  <c r="E105" i="15"/>
  <c r="E265" i="15"/>
  <c r="E364" i="15"/>
  <c r="E191" i="15"/>
  <c r="E180" i="15"/>
  <c r="E62" i="15"/>
  <c r="E164" i="15"/>
  <c r="E234" i="15"/>
  <c r="E83" i="15"/>
  <c r="E127" i="15"/>
  <c r="E316" i="15"/>
  <c r="E47" i="15"/>
  <c r="H344" i="15"/>
  <c r="G164" i="15"/>
  <c r="E330" i="15"/>
  <c r="G273" i="19"/>
  <c r="G206" i="19"/>
  <c r="G247" i="15"/>
  <c r="G300" i="15"/>
  <c r="G344" i="15"/>
  <c r="G234" i="15"/>
  <c r="G316" i="15"/>
  <c r="G329" i="15" s="1"/>
  <c r="G330" i="15" s="1"/>
  <c r="G62" i="15"/>
  <c r="G364" i="15"/>
  <c r="G191" i="15"/>
  <c r="G212" i="15"/>
  <c r="G180" i="15"/>
  <c r="G47" i="15"/>
  <c r="G83" i="15"/>
  <c r="E247" i="15"/>
  <c r="F206" i="19"/>
  <c r="F273" i="19"/>
  <c r="F47" i="15"/>
  <c r="F265" i="15"/>
  <c r="F62" i="15"/>
  <c r="F247" i="15"/>
  <c r="F164" i="15"/>
  <c r="F330" i="15"/>
  <c r="F127" i="15"/>
  <c r="F344" i="15"/>
  <c r="F83" i="15"/>
  <c r="F191" i="15"/>
  <c r="F151" i="15"/>
  <c r="F105" i="15"/>
  <c r="F212" i="15"/>
  <c r="F234" i="15"/>
  <c r="F180" i="15"/>
  <c r="H206" i="19"/>
  <c r="H191" i="15"/>
  <c r="H151" i="15"/>
  <c r="H330" i="15"/>
  <c r="H47" i="15"/>
  <c r="H62" i="15"/>
  <c r="H364" i="15"/>
  <c r="H83" i="15"/>
  <c r="H180" i="15"/>
  <c r="H164" i="15"/>
  <c r="H234" i="15"/>
  <c r="H212" i="15"/>
  <c r="H127" i="15"/>
  <c r="M363" i="15"/>
  <c r="M364" i="15" s="1"/>
  <c r="T318" i="15"/>
  <c r="Y12" i="17" s="1"/>
  <c r="Y19" i="17" s="1"/>
  <c r="J363" i="15"/>
  <c r="J364" i="15" s="1"/>
  <c r="L352" i="15"/>
  <c r="L363" i="15" s="1"/>
  <c r="L364" i="15" s="1"/>
  <c r="F363" i="15"/>
  <c r="F364" i="15" s="1"/>
  <c r="H282" i="15"/>
  <c r="H283" i="15" s="1"/>
  <c r="L273" i="15"/>
  <c r="L282" i="15" s="1"/>
  <c r="L283" i="15" s="1"/>
  <c r="J282" i="15"/>
  <c r="J283" i="15" s="1"/>
  <c r="K282" i="15"/>
  <c r="K283" i="15" s="1"/>
  <c r="F282" i="15"/>
  <c r="F283" i="15" s="1"/>
  <c r="M264" i="15"/>
  <c r="M265" i="15" s="1"/>
  <c r="H264" i="15"/>
  <c r="H265" i="15" s="1"/>
  <c r="H246" i="15"/>
  <c r="H247" i="15" s="1"/>
  <c r="Q151" i="15"/>
  <c r="T153" i="15" s="1"/>
  <c r="K12" i="17" s="1"/>
  <c r="K19" i="17" s="1"/>
  <c r="G150" i="15"/>
  <c r="G151" i="15" s="1"/>
  <c r="G108" i="19"/>
  <c r="G22" i="15"/>
  <c r="H108" i="19"/>
  <c r="H22" i="15"/>
  <c r="F108" i="19"/>
  <c r="F22" i="15"/>
  <c r="E108" i="19"/>
  <c r="E22" i="15"/>
  <c r="E11" i="15"/>
  <c r="M12" i="15" s="1"/>
  <c r="B11" i="17" s="1"/>
  <c r="C25" i="16"/>
  <c r="I132" i="19" s="1"/>
  <c r="I133" i="19" s="1"/>
  <c r="E135" i="19" s="1"/>
  <c r="C23" i="16"/>
  <c r="C21" i="16"/>
  <c r="B38" i="17" l="1"/>
  <c r="M345" i="15"/>
  <c r="M106" i="15"/>
  <c r="H11" i="17" s="1"/>
  <c r="H14" i="17" s="1"/>
  <c r="H15" i="17" s="1"/>
  <c r="H16" i="17" s="1"/>
  <c r="H20" i="17" s="1"/>
  <c r="B40" i="17"/>
  <c r="M152" i="15"/>
  <c r="K11" i="17" s="1"/>
  <c r="K14" i="17" s="1"/>
  <c r="K15" i="17" s="1"/>
  <c r="K16" i="17" s="1"/>
  <c r="K20" i="17" s="1"/>
  <c r="M48" i="15"/>
  <c r="D11" i="17" s="1"/>
  <c r="D14" i="17" s="1"/>
  <c r="D15" i="17" s="1"/>
  <c r="D16" i="17" s="1"/>
  <c r="D20" i="17" s="1"/>
  <c r="M165" i="15"/>
  <c r="S11" i="17" s="1"/>
  <c r="M213" i="15"/>
  <c r="R11" i="17" s="1"/>
  <c r="M235" i="15"/>
  <c r="T11" i="17" s="1"/>
  <c r="M274" i="19"/>
  <c r="M11" i="17" s="1"/>
  <c r="M207" i="19"/>
  <c r="N11" i="17" s="1"/>
  <c r="M63" i="15"/>
  <c r="E11" i="17" s="1"/>
  <c r="E14" i="17" s="1"/>
  <c r="M301" i="15"/>
  <c r="X11" i="17" s="1"/>
  <c r="X18" i="17" s="1"/>
  <c r="M317" i="15"/>
  <c r="M330" i="15" s="1"/>
  <c r="M331" i="15" s="1"/>
  <c r="Z11" i="17" s="1"/>
  <c r="M84" i="15"/>
  <c r="G11" i="17" s="1"/>
  <c r="M181" i="15"/>
  <c r="O11" i="17" s="1"/>
  <c r="M248" i="15"/>
  <c r="U11" i="17" s="1"/>
  <c r="U18" i="17" s="1"/>
  <c r="M192" i="15"/>
  <c r="P11" i="17" s="1"/>
  <c r="M128" i="15"/>
  <c r="I11" i="17" s="1"/>
  <c r="M365" i="15"/>
  <c r="AA11" i="17" s="1"/>
  <c r="E110" i="19"/>
  <c r="H162" i="19" s="1"/>
  <c r="L11" i="17" s="1"/>
  <c r="M284" i="15"/>
  <c r="W11" i="17" s="1"/>
  <c r="M266" i="15"/>
  <c r="V11" i="17" s="1"/>
  <c r="M23" i="15"/>
  <c r="C11" i="17" s="1"/>
  <c r="C14" i="17" s="1"/>
  <c r="C15" i="17" s="1"/>
  <c r="C16" i="17" s="1"/>
  <c r="C20" i="17" s="1"/>
  <c r="B18" i="17"/>
  <c r="B14" i="17"/>
  <c r="B15" i="17" s="1"/>
  <c r="B16" i="17" s="1"/>
  <c r="D44" i="20"/>
  <c r="F135" i="19"/>
  <c r="B445" i="13"/>
  <c r="B428" i="13"/>
  <c r="C43" i="12"/>
  <c r="D18" i="17" l="1"/>
  <c r="D21" i="17" s="1"/>
  <c r="K18" i="17"/>
  <c r="K21" i="17" s="1"/>
  <c r="K22" i="17" s="1"/>
  <c r="K23" i="17" s="1"/>
  <c r="K24" i="17" s="1"/>
  <c r="K25" i="17" s="1"/>
  <c r="K26" i="17" s="1"/>
  <c r="H18" i="17"/>
  <c r="H21" i="17" s="1"/>
  <c r="H22" i="17" s="1"/>
  <c r="H23" i="17" s="1"/>
  <c r="H24" i="17" s="1"/>
  <c r="L29" i="17"/>
  <c r="AA18" i="17"/>
  <c r="AA14" i="17"/>
  <c r="AA15" i="17" s="1"/>
  <c r="AA16" i="17" s="1"/>
  <c r="AA20" i="17" s="1"/>
  <c r="U14" i="17"/>
  <c r="U15" i="17" s="1"/>
  <c r="U16" i="17" s="1"/>
  <c r="U20" i="17" s="1"/>
  <c r="U21" i="17" s="1"/>
  <c r="U22" i="17" s="1"/>
  <c r="U23" i="17" s="1"/>
  <c r="U24" i="17" s="1"/>
  <c r="B336" i="13" s="1"/>
  <c r="Z18" i="17"/>
  <c r="Z14" i="17"/>
  <c r="Z15" i="17" s="1"/>
  <c r="Z16" i="17" s="1"/>
  <c r="Z20" i="17" s="1"/>
  <c r="E18" i="17"/>
  <c r="O18" i="17"/>
  <c r="O14" i="17"/>
  <c r="O15" i="17" s="1"/>
  <c r="O16" i="17" s="1"/>
  <c r="O20" i="17" s="1"/>
  <c r="Y11" i="17"/>
  <c r="Y14" i="17" s="1"/>
  <c r="Y15" i="17" s="1"/>
  <c r="Y16" i="17" s="1"/>
  <c r="Y20" i="17" s="1"/>
  <c r="N18" i="17"/>
  <c r="N14" i="17"/>
  <c r="N15" i="17" s="1"/>
  <c r="N16" i="17" s="1"/>
  <c r="N20" i="17" s="1"/>
  <c r="M18" i="17"/>
  <c r="M14" i="17"/>
  <c r="M15" i="17" s="1"/>
  <c r="M16" i="17" s="1"/>
  <c r="M20" i="17" s="1"/>
  <c r="G18" i="17"/>
  <c r="G14" i="17"/>
  <c r="G15" i="17" s="1"/>
  <c r="G16" i="17" s="1"/>
  <c r="G20" i="17" s="1"/>
  <c r="X14" i="17"/>
  <c r="X15" i="17" s="1"/>
  <c r="X16" i="17" s="1"/>
  <c r="X20" i="17" s="1"/>
  <c r="X21" i="17" s="1"/>
  <c r="X22" i="17" s="1"/>
  <c r="X23" i="17" s="1"/>
  <c r="X24" i="17" s="1"/>
  <c r="B387" i="13" s="1"/>
  <c r="I18" i="17"/>
  <c r="I14" i="17"/>
  <c r="I15" i="17" s="1"/>
  <c r="I16" i="17" s="1"/>
  <c r="I20" i="17" s="1"/>
  <c r="P18" i="17"/>
  <c r="P14" i="17"/>
  <c r="P15" i="17" s="1"/>
  <c r="P16" i="17" s="1"/>
  <c r="P20" i="17" s="1"/>
  <c r="R14" i="17"/>
  <c r="R18" i="17"/>
  <c r="T18" i="17"/>
  <c r="T14" i="17"/>
  <c r="T15" i="17" s="1"/>
  <c r="T16" i="17" s="1"/>
  <c r="T20" i="17" s="1"/>
  <c r="S18" i="17"/>
  <c r="S14" i="17"/>
  <c r="S15" i="17" s="1"/>
  <c r="S16" i="17" s="1"/>
  <c r="S20" i="17" s="1"/>
  <c r="V14" i="17"/>
  <c r="V18" i="17"/>
  <c r="W14" i="17"/>
  <c r="W18" i="17"/>
  <c r="L18" i="17"/>
  <c r="L14" i="17"/>
  <c r="L15" i="17" s="1"/>
  <c r="L16" i="17" s="1"/>
  <c r="L20" i="17" s="1"/>
  <c r="C18" i="17"/>
  <c r="C21" i="17" s="1"/>
  <c r="B20" i="17"/>
  <c r="G171" i="19"/>
  <c r="G174" i="19" s="1"/>
  <c r="G176" i="19" s="1"/>
  <c r="B293" i="13"/>
  <c r="B377" i="13"/>
  <c r="B360" i="13"/>
  <c r="B343" i="13"/>
  <c r="B309" i="13"/>
  <c r="C35" i="12"/>
  <c r="B276" i="13"/>
  <c r="B259" i="13"/>
  <c r="B209" i="13"/>
  <c r="B225" i="13"/>
  <c r="B192" i="13"/>
  <c r="C21" i="12"/>
  <c r="C20" i="12"/>
  <c r="C19" i="12"/>
  <c r="B44" i="17" l="1"/>
  <c r="B33" i="13"/>
  <c r="D22" i="17"/>
  <c r="D23" i="17" s="1"/>
  <c r="K28" i="17"/>
  <c r="K50" i="17"/>
  <c r="B21" i="17"/>
  <c r="B22" i="17" s="1"/>
  <c r="B23" i="17" s="1"/>
  <c r="B24" i="17" s="1"/>
  <c r="B269" i="13"/>
  <c r="I21" i="17"/>
  <c r="I22" i="17" s="1"/>
  <c r="I23" i="17" s="1"/>
  <c r="I24" i="17" s="1"/>
  <c r="I25" i="17" s="1"/>
  <c r="I26" i="17" s="1"/>
  <c r="H25" i="17"/>
  <c r="H26" i="17" s="1"/>
  <c r="B234" i="13"/>
  <c r="M21" i="17"/>
  <c r="M22" i="17" s="1"/>
  <c r="M23" i="17" s="1"/>
  <c r="M24" i="17" s="1"/>
  <c r="B66" i="13" s="1"/>
  <c r="AA21" i="17"/>
  <c r="AA22" i="17" s="1"/>
  <c r="AA23" i="17" s="1"/>
  <c r="AA24" i="17" s="1"/>
  <c r="X25" i="17"/>
  <c r="X26" i="17" s="1"/>
  <c r="U25" i="17"/>
  <c r="U26" i="17" s="1"/>
  <c r="U28" i="17" s="1"/>
  <c r="N21" i="17"/>
  <c r="N22" i="17" s="1"/>
  <c r="N23" i="17" s="1"/>
  <c r="N24" i="17" s="1"/>
  <c r="Z21" i="17"/>
  <c r="Z22" i="17" s="1"/>
  <c r="Z23" i="17" s="1"/>
  <c r="Z24" i="17" s="1"/>
  <c r="B438" i="13" s="1"/>
  <c r="Y18" i="17"/>
  <c r="Y21" i="17" s="1"/>
  <c r="Y22" i="17" s="1"/>
  <c r="Y23" i="17" s="1"/>
  <c r="Y24" i="17" s="1"/>
  <c r="B404" i="13" s="1"/>
  <c r="S21" i="17"/>
  <c r="S22" i="17" s="1"/>
  <c r="S23" i="17" s="1"/>
  <c r="S24" i="17" s="1"/>
  <c r="B286" i="13" s="1"/>
  <c r="R15" i="17"/>
  <c r="R16" i="17" s="1"/>
  <c r="R20" i="17" s="1"/>
  <c r="R21" i="17" s="1"/>
  <c r="R22" i="17" s="1"/>
  <c r="R23" i="17" s="1"/>
  <c r="R24" i="17" s="1"/>
  <c r="B319" i="13" s="1"/>
  <c r="T21" i="17"/>
  <c r="T22" i="17" s="1"/>
  <c r="T23" i="17" s="1"/>
  <c r="T24" i="17" s="1"/>
  <c r="B302" i="13" s="1"/>
  <c r="P21" i="17"/>
  <c r="P22" i="17" s="1"/>
  <c r="O21" i="17"/>
  <c r="O22" i="17" s="1"/>
  <c r="O23" i="17" s="1"/>
  <c r="O24" i="17" s="1"/>
  <c r="B184" i="13" s="1"/>
  <c r="G21" i="17"/>
  <c r="G22" i="17" s="1"/>
  <c r="G23" i="17" s="1"/>
  <c r="G24" i="17" s="1"/>
  <c r="B218" i="13" s="1"/>
  <c r="E15" i="17"/>
  <c r="E16" i="17" s="1"/>
  <c r="E20" i="17" s="1"/>
  <c r="E21" i="17" s="1"/>
  <c r="E22" i="17" s="1"/>
  <c r="E23" i="17" s="1"/>
  <c r="E24" i="17" s="1"/>
  <c r="B84" i="13" s="1"/>
  <c r="V15" i="17"/>
  <c r="V16" i="17" s="1"/>
  <c r="V20" i="17" s="1"/>
  <c r="V21" i="17" s="1"/>
  <c r="V22" i="17" s="1"/>
  <c r="V23" i="17" s="1"/>
  <c r="V24" i="17" s="1"/>
  <c r="B353" i="13" s="1"/>
  <c r="W15" i="17"/>
  <c r="W16" i="17" s="1"/>
  <c r="W20" i="17" s="1"/>
  <c r="W21" i="17" s="1"/>
  <c r="W22" i="17" s="1"/>
  <c r="W23" i="17" s="1"/>
  <c r="W24" i="17" s="1"/>
  <c r="B370" i="13" s="1"/>
  <c r="L21" i="17"/>
  <c r="L22" i="17" s="1"/>
  <c r="L23" i="17" s="1"/>
  <c r="L24" i="17" s="1"/>
  <c r="B32" i="13" s="1"/>
  <c r="C22" i="17"/>
  <c r="C23" i="17" s="1"/>
  <c r="C24" i="17" s="1"/>
  <c r="B137" i="13" s="1"/>
  <c r="B174" i="13"/>
  <c r="B155" i="13"/>
  <c r="N25" i="17" l="1"/>
  <c r="N26" i="17" s="1"/>
  <c r="N28" i="17" s="1"/>
  <c r="B49" i="13"/>
  <c r="B31" i="17"/>
  <c r="D24" i="17"/>
  <c r="P23" i="17"/>
  <c r="B33" i="17" s="1"/>
  <c r="B32" i="17"/>
  <c r="I28" i="17"/>
  <c r="I50" i="17"/>
  <c r="X28" i="17"/>
  <c r="X50" i="17"/>
  <c r="H28" i="17"/>
  <c r="H50" i="17"/>
  <c r="B41" i="17"/>
  <c r="B202" i="13"/>
  <c r="AA25" i="17"/>
  <c r="AA26" i="17" s="1"/>
  <c r="B455" i="13"/>
  <c r="B25" i="17"/>
  <c r="B119" i="13"/>
  <c r="M25" i="17"/>
  <c r="M26" i="17" s="1"/>
  <c r="V25" i="17"/>
  <c r="V26" i="17" s="1"/>
  <c r="V28" i="17" s="1"/>
  <c r="G25" i="17"/>
  <c r="G26" i="17" s="1"/>
  <c r="O25" i="17"/>
  <c r="O26" i="17" s="1"/>
  <c r="R25" i="17"/>
  <c r="R26" i="17" s="1"/>
  <c r="Y25" i="17"/>
  <c r="Y26" i="17" s="1"/>
  <c r="Y28" i="17" s="1"/>
  <c r="T25" i="17"/>
  <c r="T26" i="17" s="1"/>
  <c r="T28" i="17" s="1"/>
  <c r="S25" i="17"/>
  <c r="S26" i="17" s="1"/>
  <c r="C25" i="17"/>
  <c r="C26" i="17" s="1"/>
  <c r="Z25" i="17"/>
  <c r="Z26" i="17" s="1"/>
  <c r="W25" i="17"/>
  <c r="W26" i="17" s="1"/>
  <c r="B39" i="17"/>
  <c r="L25" i="17"/>
  <c r="L26" i="17" s="1"/>
  <c r="E25" i="17"/>
  <c r="E26" i="17" s="1"/>
  <c r="C44" i="12"/>
  <c r="B127" i="13"/>
  <c r="C39" i="12"/>
  <c r="B326" i="13" s="1"/>
  <c r="B24" i="12"/>
  <c r="C16" i="12" s="1"/>
  <c r="D25" i="17" l="1"/>
  <c r="D26" i="17" s="1"/>
  <c r="B103" i="13"/>
  <c r="P24" i="17"/>
  <c r="B26" i="17"/>
  <c r="E28" i="17"/>
  <c r="E50" i="17"/>
  <c r="Z28" i="17"/>
  <c r="Z50" i="17"/>
  <c r="C28" i="17"/>
  <c r="C50" i="17"/>
  <c r="R28" i="17"/>
  <c r="R50" i="17"/>
  <c r="S28" i="17"/>
  <c r="S50" i="17"/>
  <c r="O28" i="17"/>
  <c r="O50" i="17"/>
  <c r="L28" i="17"/>
  <c r="L50" i="17"/>
  <c r="G28" i="17"/>
  <c r="G50" i="17"/>
  <c r="AA28" i="17"/>
  <c r="AA50" i="17"/>
  <c r="W28" i="17"/>
  <c r="W50" i="17"/>
  <c r="M28" i="17"/>
  <c r="M50" i="17"/>
  <c r="B42" i="17"/>
  <c r="C46" i="12"/>
  <c r="D28" i="17" l="1"/>
  <c r="D50" i="17"/>
  <c r="B166" i="13"/>
  <c r="B34" i="17"/>
  <c r="P25" i="17"/>
  <c r="B28" i="17"/>
  <c r="P26" i="17" l="1"/>
  <c r="B35" i="17"/>
  <c r="P28" i="17" l="1"/>
  <c r="B3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tc={BE787158-DC9D-4E42-9965-C065BA664109}</author>
  </authors>
  <commentList>
    <comment ref="D48" authorId="0" shapeId="0" xr:uid="{BE787158-DC9D-4E42-9965-C065BA664109}">
      <text>
        <t>[Threaded comment]
Your version of Excel allows you to read this threaded comment; however, any edits to it will get removed if the file is opened in a newer version of Excel. Learn more: https://go.microsoft.com/fwlink/?linkid=870924
Comment:
    Note originally was CCE10 + CCE11</t>
      </text>
    </comment>
  </commentList>
</comments>
</file>

<file path=xl/sharedStrings.xml><?xml version="1.0" encoding="utf-8"?>
<sst xmlns="http://schemas.openxmlformats.org/spreadsheetml/2006/main" count="3050" uniqueCount="1270">
  <si>
    <t>A40032 - Milford Opportunities Project; Walking &amp; Cycling Experiences Feasibility</t>
  </si>
  <si>
    <t>PROJECT SCOPE &amp; LEVELS OF SERVICE - FINAL</t>
  </si>
  <si>
    <t>Date: 25 October 2023</t>
  </si>
  <si>
    <r>
      <t xml:space="preserve">Date: 30 June 2023, updated 4/9/23, updated 15/9/23, updated 27/9/23, </t>
    </r>
    <r>
      <rPr>
        <sz val="11"/>
        <color rgb="FFFF0000"/>
        <rFont val="Calibri"/>
        <family val="2"/>
        <scheme val="minor"/>
      </rPr>
      <t>updated 9/10/2023</t>
    </r>
    <r>
      <rPr>
        <sz val="11"/>
        <color theme="1"/>
        <rFont val="Calibri"/>
        <family val="2"/>
        <scheme val="minor"/>
      </rPr>
      <t xml:space="preserve">, FINAL DRAFT 17/10/23; </t>
    </r>
    <r>
      <rPr>
        <b/>
        <sz val="11"/>
        <color theme="1"/>
        <rFont val="Calibri"/>
        <family val="2"/>
        <scheme val="minor"/>
      </rPr>
      <t>FINALISED 25/10/23</t>
    </r>
  </si>
  <si>
    <t>Item</t>
  </si>
  <si>
    <t>Description</t>
  </si>
  <si>
    <t>Length (m)</t>
  </si>
  <si>
    <t>Type/Grade</t>
  </si>
  <si>
    <t>Brief Description</t>
  </si>
  <si>
    <t>Experience Description</t>
  </si>
  <si>
    <t>Experience met</t>
  </si>
  <si>
    <t>Experience comments</t>
  </si>
  <si>
    <t>Technically Feasible</t>
  </si>
  <si>
    <t>Technical comments</t>
  </si>
  <si>
    <t>Comments from RFP &amp; MOP</t>
  </si>
  <si>
    <t>More comments</t>
  </si>
  <si>
    <t>Tom's comments</t>
  </si>
  <si>
    <t>Tim's additional comments</t>
  </si>
  <si>
    <t>EGLINTON VALLEY TRACKS</t>
  </si>
  <si>
    <t>6.1.1</t>
  </si>
  <si>
    <t>Eglinton Reveal Track</t>
  </si>
  <si>
    <t>Grade 2 or SST</t>
  </si>
  <si>
    <t>Easy walking track towards Eglinton River</t>
  </si>
  <si>
    <t>Easy short walk with views up &amp; down valley, overlook of small horseshoe wetland</t>
  </si>
  <si>
    <t>Short walk associated with Eglinton Reveal, gives nice views up and down valley. More of an initial taster of things to come. Site does not offer much in the way of 'stunning'</t>
  </si>
  <si>
    <t>Layby south Eglinton East -  link to Eglinton River and cycle trail</t>
  </si>
  <si>
    <t>Cycle trail link - Gr 2 2m wide, 100m bridge to reach TR cycle trail, could easily be accessible given flat terrain</t>
  </si>
  <si>
    <t>Agree</t>
  </si>
  <si>
    <t>6.1.2</t>
  </si>
  <si>
    <t>Knobs Flat short walks</t>
  </si>
  <si>
    <t>SST</t>
  </si>
  <si>
    <t>Short walks in and around Knobs Flat accommodation including to Waterfall &amp; across Kiosk creek</t>
  </si>
  <si>
    <t>Easy Short walks in open mossy Beech forest with harder track (Easy TT) to stunning waterfall</t>
  </si>
  <si>
    <t xml:space="preserve">The open Beech forest with lots of bright green moss is a lovely experience. Two small bridges over Kiosk Creek and the addition of an easy tramping track to the lovely waterfalls including a viewing platform will make this a must do short stop or cater to people staying at the adjoining accommodation or campsite. </t>
  </si>
  <si>
    <t xml:space="preserve">A viewing platform and stairs will be necessary at the waterfall to ensure quality access for viewing. One or two short bridges over Kiosk creek are also necessary. This alluvial fan creek is clearly aggrading so position and height above the bed will be crucial to long term survival. On the positive side it does not appear that debris flows with logs are a common occurrence here. </t>
  </si>
  <si>
    <t>Lengths of track not confirmed, accessible standard path to be considered perhaps for link across Kiosk Creek. Also see waterfall track noted by Beth M</t>
  </si>
  <si>
    <t>Short walk, Accessible standard across Kiosk Cr, smooth compacted gravel, 1.5m wide structures with edge protection and barriers, link to waterfall, mostly for use by concessionaire &amp; people staying overnight</t>
  </si>
  <si>
    <t>6.1.3A</t>
  </si>
  <si>
    <t>Countess Range Track &amp; Hut (option 2)</t>
  </si>
  <si>
    <t>BCC Easy TT &amp; 40 Bed Hut</t>
  </si>
  <si>
    <t>Easy tramping track &amp; Serviced hut  &lt; 44 bed hut</t>
  </si>
  <si>
    <r>
      <t>Significant climb through Beech forest to gentle open tops with stunning 250</t>
    </r>
    <r>
      <rPr>
        <sz val="11"/>
        <color theme="1"/>
        <rFont val="Calibri"/>
        <family val="2"/>
      </rPr>
      <t xml:space="preserve">° </t>
    </r>
    <r>
      <rPr>
        <sz val="11"/>
        <color theme="1"/>
        <rFont val="Calibri"/>
        <family val="2"/>
        <scheme val="minor"/>
      </rPr>
      <t>views &amp; hut, loop to create whole journey and add interesting &amp; varied tops travel</t>
    </r>
  </si>
  <si>
    <t>Large footprint and visual impact of 40 bed hut is unlikely to be mitigated in this open tops site. Large hut is at the upper end of easy tramping type sizing and much larger than similar huts of this type/location/journey. Large huts do not create a very intimate experience for visitors. Additionally, the track standard required will mean benching for much of the route to achieve grades 10-15 deg max and a generally uniform surface. Track impact could be reduced by shortening the track to southern approach only at 5km</t>
  </si>
  <si>
    <t xml:space="preserve">Significant benching including in terrain 30-45 degree side slope will result in considerable rock cutting. </t>
  </si>
  <si>
    <r>
      <t xml:space="preserve">Access direct from SH94 300m N of Walkers Cr campsite to hut at 1200m; 2 options; </t>
    </r>
    <r>
      <rPr>
        <b/>
        <u/>
        <sz val="11"/>
        <color theme="1"/>
        <rFont val="Calibri"/>
        <family val="2"/>
        <scheme val="minor"/>
      </rPr>
      <t>1</t>
    </r>
    <r>
      <rPr>
        <sz val="11"/>
        <color theme="1"/>
        <rFont val="Calibri"/>
        <family val="2"/>
        <scheme val="minor"/>
      </rPr>
      <t xml:space="preserve"> @ BCC Great walk &amp; 40 bunk hut, </t>
    </r>
    <r>
      <rPr>
        <b/>
        <u/>
        <sz val="11"/>
        <color theme="1"/>
        <rFont val="Calibri"/>
        <family val="2"/>
        <scheme val="minor"/>
      </rPr>
      <t>2</t>
    </r>
    <r>
      <rPr>
        <sz val="11"/>
        <color theme="1"/>
        <rFont val="Calibri"/>
        <family val="2"/>
        <scheme val="minor"/>
      </rPr>
      <t xml:space="preserve"> @ BCA serviced hut 12-20 bunks &amp; advanced TT</t>
    </r>
  </si>
  <si>
    <t>Sensible option: Poled route on tops, Advanced tramping track due to height gain and steepness, BCC could also be suitable.  Hut - Serviced BCC/BCA; 12-20 beds, Brewster Hut type - See NZAC report</t>
  </si>
  <si>
    <t>For BCC option - Can we please use BCC Easy Tramping Track rather than BCC Great Walk Track? Very little difference between the two but my inclination is to stay away from Great Walk brand. Likewise for the hut - my preference is BCC Serviced i.e. 36 bunks, noting that I've stated 40 bunks elsewhere which is splitting the difference between Great Walk (44 bunks) &amp; Serviced. In theory there is no problem 'exceeding' the service standard for Serviced huts e.g. cooking, lighting. Otherwise agree</t>
  </si>
  <si>
    <t>Perfect, Yes the Great Walks brand is quite specific</t>
  </si>
  <si>
    <t>6.1.3B</t>
  </si>
  <si>
    <t>Countess Range Track &amp; Hut (option 1)</t>
  </si>
  <si>
    <t>BCA Adv TT &amp; 20 Bed Hut</t>
  </si>
  <si>
    <t>Advanced Tramping track &amp; serviced hut &lt; 20 bed</t>
  </si>
  <si>
    <t xml:space="preserve">Easily formed low impact track through lovely Beech forest and across open tops. The proposed hut site and smaller 20 bed footprint will reduce significantly the visual impact and the lower capacity will help to create a more intimate vibe within the hut befitting a high quality experience. </t>
  </si>
  <si>
    <t>6.1.4</t>
  </si>
  <si>
    <t>Mistake Creek Track &amp; Hut</t>
  </si>
  <si>
    <t>BCC Easy TT</t>
  </si>
  <si>
    <r>
      <t xml:space="preserve">This opportunity in </t>
    </r>
    <r>
      <rPr>
        <b/>
        <u val="singleAccounting"/>
        <sz val="11"/>
        <color theme="1"/>
        <rFont val="Calibri"/>
        <family val="2"/>
        <scheme val="minor"/>
      </rPr>
      <t>ON HOLD</t>
    </r>
    <r>
      <rPr>
        <sz val="11"/>
        <color theme="1"/>
        <rFont val="Calibri"/>
        <family val="2"/>
        <scheme val="minor"/>
      </rPr>
      <t xml:space="preserve"> - BCC Easy tramping track &amp; serviced BCC hut </t>
    </r>
  </si>
  <si>
    <r>
      <rPr>
        <b/>
        <sz val="11"/>
        <color theme="1"/>
        <rFont val="Calibri"/>
        <family val="2"/>
        <scheme val="minor"/>
      </rPr>
      <t>ON HOLD:</t>
    </r>
    <r>
      <rPr>
        <sz val="11"/>
        <color theme="1"/>
        <rFont val="Calibri"/>
        <family val="2"/>
        <scheme val="minor"/>
      </rPr>
      <t xml:space="preserve"> Track to Hut &amp; head of valley flats - Over night experience, bridge needed over Mistake Cr</t>
    </r>
  </si>
  <si>
    <t>Currently Advanced tramping track, BCC achievable based on terrain maps, Hut - Services BCC/BCA; 12-20 beds, Brewster Hut Type; Issue with potential for people to go up towards U Pass (Route only)</t>
  </si>
  <si>
    <t xml:space="preserve">Again if we end up picking this proposal up again I'd want to look at it thru the lens of BCC Easy Tramping Track and BCC Serviced Hut and stay away from Great Walk brand </t>
  </si>
  <si>
    <t>Agreed</t>
  </si>
  <si>
    <t>6.1.5</t>
  </si>
  <si>
    <t>U Pass Lookout track</t>
  </si>
  <si>
    <t>BCC</t>
  </si>
  <si>
    <r>
      <t xml:space="preserve">This opportunity in </t>
    </r>
    <r>
      <rPr>
        <b/>
        <sz val="11"/>
        <color theme="1"/>
        <rFont val="Calibri"/>
        <family val="2"/>
        <scheme val="minor"/>
      </rPr>
      <t>ON HOLD</t>
    </r>
    <r>
      <rPr>
        <sz val="11"/>
        <color theme="1"/>
        <rFont val="Calibri"/>
        <family val="2"/>
        <scheme val="minor"/>
      </rPr>
      <t xml:space="preserve"> - No further work</t>
    </r>
  </si>
  <si>
    <r>
      <rPr>
        <b/>
        <sz val="11"/>
        <color theme="1"/>
        <rFont val="Calibri"/>
        <family val="2"/>
        <scheme val="minor"/>
      </rPr>
      <t xml:space="preserve">ON HOLD: </t>
    </r>
    <r>
      <rPr>
        <sz val="11"/>
        <color theme="1"/>
        <rFont val="Calibri"/>
        <family val="2"/>
        <scheme val="minor"/>
      </rPr>
      <t>Route up to bluff face and waterfall, avalanche hazards high during winter, expert skills required</t>
    </r>
  </si>
  <si>
    <t>Advanced route - not suited to overnight Mistake Creek hut - different user groups</t>
  </si>
  <si>
    <t>EGLINTON VALLEY CYCLE TRAIL</t>
  </si>
  <si>
    <t xml:space="preserve"> </t>
  </si>
  <si>
    <t>Te Anau Downs to The Divide</t>
  </si>
  <si>
    <t>Grade 2</t>
  </si>
  <si>
    <r>
      <t>Cycle trail on the true right of the Eglinton River -</t>
    </r>
    <r>
      <rPr>
        <b/>
        <sz val="11"/>
        <color theme="1"/>
        <rFont val="Calibri"/>
        <family val="2"/>
        <scheme val="minor"/>
      </rPr>
      <t xml:space="preserve"> Total 55km</t>
    </r>
  </si>
  <si>
    <t>Tom says please assess this option as Gr2</t>
  </si>
  <si>
    <r>
      <rPr>
        <b/>
        <sz val="11"/>
        <color theme="1"/>
        <rFont val="Calibri"/>
        <family val="2"/>
        <scheme val="minor"/>
      </rPr>
      <t xml:space="preserve">Option 1: </t>
    </r>
    <r>
      <rPr>
        <sz val="11"/>
        <color theme="1"/>
        <rFont val="Calibri"/>
        <family val="2"/>
        <scheme val="minor"/>
      </rPr>
      <t>True Right of Eglinton River to Blacks Creek then SH94 side to Mistake Creek then True Right to Cascade Creek</t>
    </r>
  </si>
  <si>
    <t>6.2.1</t>
  </si>
  <si>
    <t>Te Anau Downs to Black Creek - True right of Eglinton River</t>
  </si>
  <si>
    <t>Gr 2-3</t>
  </si>
  <si>
    <t>Cycle trail on True Right of Eglinton River to Blacks Creek then SH94 side to Cascade Creek</t>
  </si>
  <si>
    <t>Easy riding through a combination of Red Beech forest, regenerating forest and open grasslands. Two large bridges and views over the lower Eglinton River</t>
  </si>
  <si>
    <t xml:space="preserve">The proposed trail alignment will result in easy riding for most abilities. Using a 1.8-2m wide formation with easy corners and gentle grade and combining this with the interesting mix of forest and grassland together with stunning views into the southern Earl mountains and up the lower Eglinton Valley will deliver a superb riding experience. </t>
  </si>
  <si>
    <t xml:space="preserve">Critical sections are: Bridges over the lower and mid Eglinton River, and approach to and through the Eglinton confluence and into the north of Limestone Gorge. Numerous small bridges but these are considered straightforward. </t>
  </si>
  <si>
    <t>Aim for Grade 2 with interesting alignment to create good flow and not straight, connects with FTT trail, aim for 1.5-1.8m in forest and up to 2m in open areas, not 2.5m typically; consider one way to reduce conflict</t>
  </si>
  <si>
    <t>NZCT Gr2 preferred (Max Gr3), compacted gravel surface, bridge creeks, culvert drainage, barriers</t>
  </si>
  <si>
    <t>6.2.2</t>
  </si>
  <si>
    <t xml:space="preserve"> Black Creek to Smithy Creek via Knobs Flat</t>
  </si>
  <si>
    <t xml:space="preserve">Gr 2  </t>
  </si>
  <si>
    <t>Cycle trail from Smithy Creek to Black Creek</t>
  </si>
  <si>
    <t>Trail takes riders past Mirror Lakes &amp; Deer Flat plus interesting landform on plain at Knobs Flat</t>
  </si>
  <si>
    <t xml:space="preserve">This section has short sections next to SH94 (Mirror Lakes 1.2km) which ensures riders can take advantage of the existing mirror lakes experience with the majority of the ride in lovely open mossy Red beech forest. The alignment at Deer Flat is intended to maximise the riding experience and showcase the many small glacial features (small hillocks) hidden int eh forest together with summitting the small hillock north of Knobs Flat (remnant glacial feature). </t>
  </si>
  <si>
    <t>Flooding around Deer Flat necessitates the use of boardwalks and bridges. These are considered feasible and provide a level of flood protection to what appear to be mostly shallow, low velocity overland flows</t>
  </si>
  <si>
    <t xml:space="preserve">  "   "</t>
  </si>
  <si>
    <t xml:space="preserve">  "  "</t>
  </si>
  <si>
    <t>6.2.3</t>
  </si>
  <si>
    <t>Smithy Creek to Mistake Creek</t>
  </si>
  <si>
    <t>Cycle trail from Mistake Creek to Smithy Creek</t>
  </si>
  <si>
    <t>Trail mostly in red beech forest between road and river. Very shorts sections next to the road to avoid erosion or swampy grasslands</t>
  </si>
  <si>
    <t>The beech forest dominates this section and the route gives some stunning views across the river, hidden swamps and some open valley. Riding is a mix of mostly open beech forest and grey scrublands</t>
  </si>
  <si>
    <t xml:space="preserve">Smith Creek bridge sited downstream of SH94 road bridge. </t>
  </si>
  <si>
    <t>6.2.4</t>
  </si>
  <si>
    <t>Mistake Creek to Cascade Creek</t>
  </si>
  <si>
    <t>Cycle trail from Cascade Creek to Mistake Creek</t>
  </si>
  <si>
    <t>trail on the true right of the Eglinton River to Lake Gunn south shore &amp; Cascade Creek node</t>
  </si>
  <si>
    <t>With a new bridge over Eglinton River at Mistake creek track, the trail will climb gently sloping open Red beech forest above the upper Eglinton River. Being on the true right creates a real sense of isolation form the roadway and leads riders through  series of interesting geological landforms including swamp lands before arriving on the southern shore of Lake Gunn. If riders choose to stop here they will still get a stunning view up the lake before riding the short distance to Cascade creek node</t>
  </si>
  <si>
    <t xml:space="preserve">Bridge over upper Eglinton River considered feasible at the existing walk wire with approach ramps to achieve 2m above existing banks to underside of the bridge. Also bridge over dry creek at gravel pit and over Lake Gunn outlet. </t>
  </si>
  <si>
    <t>6.2.5</t>
  </si>
  <si>
    <t>Cascade Creek to Lake Gunn (northern end)</t>
  </si>
  <si>
    <t>Gr 2</t>
  </si>
  <si>
    <t xml:space="preserve">Cycle trail along western side of Lake Gunn </t>
  </si>
  <si>
    <t>Trail on the western shore including link to Melita Falls (previously tracked in 1970's), Stunning lake and mountain views, exciting rising across cliff faces</t>
  </si>
  <si>
    <t xml:space="preserve">This section of track will be stunning. Image riding along a sloid rock face 30m above the deep blue glacial carved Lake Gun. Then just when you think it cant get any better you reach the Melita Falls, a series of stunning waterfalls cascading from the Melia Stream. This will be unmissable and provide an unmatched both scenic and thrilling experience. </t>
  </si>
  <si>
    <t xml:space="preserve">This section is considered to be technically very difficult with over 1,400m of rock face structures required. The main hazard for this type of construction is vegetation debris flows as vegetation is often tenuously held in place. The construction of rock face bridges has been proven at Lake Dunstan Trail by the author but this site is not only much longer but has inherent hazards above it from trees. </t>
  </si>
  <si>
    <t>Assess feasibility &amp; suitability</t>
  </si>
  <si>
    <t>Very steep terrain west side Lake Gunn + some clear shingle fans</t>
  </si>
  <si>
    <t>6.2.6</t>
  </si>
  <si>
    <t>Lake Gunn to Lake Fergus and to The Divide</t>
  </si>
  <si>
    <t>Cycle trail along western side of Lake Fergus to Divide Car park/node</t>
  </si>
  <si>
    <t>Connection to The Divide node, changing beech forest, lake views, completing the journey to/from The Divide</t>
  </si>
  <si>
    <t xml:space="preserve">This section is more of a link to the Divide than anything else. But there are nice views across Lake Fergus. Being located above the existing highway the ride is a bit noisy but at least you get to look down on the traffic. While not as stunning as Lake Gunn the riding will be pleasant and necessary to connect to the Divide. </t>
  </si>
  <si>
    <t xml:space="preserve">Potential for shingle fans across the route are hard to mitigate and present a resilience issue. </t>
  </si>
  <si>
    <t>Above road then into busy Divide CP not ideal, weather 1m wetter than Cascade</t>
  </si>
  <si>
    <t>Total Te Anau Downs to Divide</t>
  </si>
  <si>
    <r>
      <rPr>
        <b/>
        <sz val="11"/>
        <color theme="1"/>
        <rFont val="Calibri"/>
        <family val="2"/>
        <scheme val="minor"/>
      </rPr>
      <t>Option 2:</t>
    </r>
    <r>
      <rPr>
        <sz val="11"/>
        <color theme="1"/>
        <rFont val="Calibri"/>
        <family val="2"/>
        <scheme val="minor"/>
      </rPr>
      <t xml:space="preserve"> True left of Eglinton River along SH94 from Te Anau Downs to Blacks Creek</t>
    </r>
  </si>
  <si>
    <t>6.2.7</t>
  </si>
  <si>
    <t>Te Anau Downs to Black Creek following SH94</t>
  </si>
  <si>
    <t>Cycle trail following margins of SH94 to Blacks Creek then join Option 1 alignment</t>
  </si>
  <si>
    <t xml:space="preserve">Trail along the road margins, potential to leave road 2km west of Boyd creek and include lovely Beech Forest riding with views to the Eglinton River.  Some nice beech forest sections between Totara Flat and Eglinton Reveal. Stunning bridge over East Eglinton River </t>
  </si>
  <si>
    <t>Following the road margins for around 13km of the 29km results in a lower value experience as the frequent vehicle movements in close proximity to the trail (limited separation) makes the riding less enjoyable and much less sought after. While there are cycle trails in NZ along the margins of roads, this would be the least desirable option as it does not offer a unique experience and riders feel 'threatened' by vehicles so they do not experience the peace and quiet of Option 1. Some sections of the route near Walkers Creek and between Totara Flat and McKay Creek can be built in beech forest away from the road. And between Eglinton Reveal and Blacks creek there is also a route away from the road which could achieve the desired user experience. However overall we consider the experience to be at the low end of expectations.</t>
  </si>
  <si>
    <t>Bluff between Walkers Creek and Totara Flat was recently flooded across the roadway. Any trail on the riverside of the barrier will need to be carefully designed to achieve flood resilience.</t>
  </si>
  <si>
    <t>Looks like it would cross private land - Peter Chartres, legal access will be the issue</t>
  </si>
  <si>
    <t xml:space="preserve">New track on the true left of Marian Creek to create loop with existing track; Also consider upgrade of existing lake track Advanced TT to DV or SST or combination of SST or DV to waterfalls and loop around waterfalls as option to new 'loop' on true left </t>
  </si>
  <si>
    <t>LAKE MARIAN &amp; WHAKATIPU NODE</t>
  </si>
  <si>
    <t>6.3.1</t>
  </si>
  <si>
    <t>Marian Creek Waterfalls - Upgrade</t>
  </si>
  <si>
    <t xml:space="preserve">Upgrade of existing short walk track to waterfalls to SST or DV </t>
  </si>
  <si>
    <t>Minor upgrades to cater to increasing number of visitors to improve flow and reduce congestion to this outstanding short walk to the loud crashing waterfalls in the boulder strewn Marian Creek</t>
  </si>
  <si>
    <t xml:space="preserve">This track is heavily used and upgrading to widen the surface to 1.5m and remove rough sections particularly at the upper gantry will broaden the experience. The falls already receive rave reviews and by upgrading the track and structures this will only increase. </t>
  </si>
  <si>
    <t>Widen existing suspension bridge and other small structures (7 &lt;900mm wide ), widen gantries where possible as also narrow</t>
  </si>
  <si>
    <t>New track on the true left of Marian Creek to create loop with existing track; Also consider upgrade of existing lake track Advanced TT to DV or SST or combination of SST or DV to waterfalls and loop around waterfalls as option to new 'loop' on true left</t>
  </si>
  <si>
    <r>
      <t xml:space="preserve">See Appendix 2 Stage 2 Infrastructure Assessment Report attached to covering email, Stantec/Boffa only specified 2 different service standards: 'Great Walk Style Track' and 'Wheelchair Accessible Track'. Agree this proposal should be tested as </t>
    </r>
    <r>
      <rPr>
        <b/>
        <sz val="11"/>
        <color rgb="FFFF0000"/>
        <rFont val="Calibri"/>
        <family val="2"/>
        <scheme val="minor"/>
      </rPr>
      <t>DV Walking Track</t>
    </r>
    <r>
      <rPr>
        <sz val="11"/>
        <color rgb="FFFF0000"/>
        <rFont val="Calibri"/>
        <family val="2"/>
        <scheme val="minor"/>
      </rPr>
      <t xml:space="preserve">  </t>
    </r>
  </si>
  <si>
    <r>
      <t>In my review comment bubble I have suggested Great Walk standard so should we go for easy tramping then? DV is higher standard and I think I have that wrong.</t>
    </r>
    <r>
      <rPr>
        <sz val="11"/>
        <color rgb="FFFF0000"/>
        <rFont val="Calibri"/>
        <family val="2"/>
        <scheme val="minor"/>
      </rPr>
      <t xml:space="preserve"> See note in covering email.</t>
    </r>
  </si>
  <si>
    <t>6.3.2</t>
  </si>
  <si>
    <t>Lake Marian Track - Upgrade</t>
  </si>
  <si>
    <t>BCC Easy Tramping</t>
  </si>
  <si>
    <t>Upgrade of existing Lake Marian Track to either DV or Easy TT. See note above. DV (walking track) cater to up to 1 easy day walk; BCC (Easy TT) cater to people from 1 day to multi day trips, more experienced than DV</t>
  </si>
  <si>
    <t>Upgrades to improve the accessibility and reduce congestion on this popular day walk to the outstanding Lake Marian which gives views up valley to hanging snow fields, rock faces and alpine scenery</t>
  </si>
  <si>
    <t xml:space="preserve">This rough 'back country' type track is used by a surprising number of people and the congestion is obvious when clambering over roots and rocks. Upgrading the track will lead to a surge in use and improvement in the experience for less able visitors. </t>
  </si>
  <si>
    <t>Upgrade existing Advanced TT to DV (Walking track)</t>
  </si>
  <si>
    <t>Current rough track to upgrade to walking track std</t>
  </si>
  <si>
    <r>
      <t xml:space="preserve">See Appendix 2 Stage 2 Infrastructure Assessment Report attached to covering email, Stantec/Boffa only specified 2 different service standards: 'Great Walk Style Track' and 'Wheelchair Accessible Track'. Agree this proposal should be tested as </t>
    </r>
    <r>
      <rPr>
        <b/>
        <sz val="11"/>
        <color rgb="FFFF0000"/>
        <rFont val="Calibri"/>
        <family val="2"/>
        <scheme val="minor"/>
      </rPr>
      <t xml:space="preserve">DV Walking Track </t>
    </r>
    <r>
      <rPr>
        <sz val="11"/>
        <color rgb="FFFF0000"/>
        <rFont val="Calibri"/>
        <family val="2"/>
        <scheme val="minor"/>
      </rPr>
      <t xml:space="preserve"> </t>
    </r>
  </si>
  <si>
    <r>
      <t xml:space="preserve">As above. There is the section to the waterfalls which should be high quality (perhaps DV), then the longer loop (6km so 2-3 hrs walk) at easy tramp as DV will not do that long. </t>
    </r>
    <r>
      <rPr>
        <sz val="11"/>
        <color rgb="FFFF0000"/>
        <rFont val="Calibri"/>
        <family val="2"/>
        <scheme val="minor"/>
      </rPr>
      <t>See note in covering email.</t>
    </r>
  </si>
  <si>
    <t>6.3.3</t>
  </si>
  <si>
    <t>Lake Marian Loop - True left</t>
  </si>
  <si>
    <t>BCC Easy tramping</t>
  </si>
  <si>
    <t>New track on the true left of Marian Creek to create loop with existing Lake Marian Track</t>
  </si>
  <si>
    <t>New track to reduce congestion by creating a loop track which is favoured over there and back type tracks. The bush on the true left offers similar experiences to the true right existing track</t>
  </si>
  <si>
    <t>This new track will create the 'journey' which is preferred over the out and back existing track. There are slightly different views over the Marian creek but by and large no 'new' experiences.</t>
  </si>
  <si>
    <t>This track will require considerable rock breaking or blasting as much of the site is composed of rock fall debris. Bridge sites in the lower Marian Creek will be crucial to the success as recent 2020 flooding has shown river levels including debris clearance can be surprising high.</t>
  </si>
  <si>
    <t>6.3.4</t>
  </si>
  <si>
    <t>Covered Nature Trail (accessible)</t>
  </si>
  <si>
    <r>
      <t>New accessible and fully covered track accessed from Whakatipu node. Options include both sides of Hollyford River and lower sections of Marian Creek, Longitudinal Gradient max 5</t>
    </r>
    <r>
      <rPr>
        <sz val="11"/>
        <color theme="1"/>
        <rFont val="Calibri"/>
        <family val="2"/>
      </rPr>
      <t xml:space="preserve">° as per </t>
    </r>
    <r>
      <rPr>
        <sz val="11"/>
        <color theme="1"/>
        <rFont val="Calibri"/>
        <family val="2"/>
        <scheme val="minor"/>
      </rPr>
      <t xml:space="preserve">HB8630. </t>
    </r>
  </si>
  <si>
    <t xml:space="preserve">Aiming for lovely mossy beech forest, views over the Hollyford River at designated view points. Covered from weather and accessible. </t>
  </si>
  <si>
    <t xml:space="preserve">From the point of developing a memorable experience, there is not a lot to recommend this site. The waterfalls nearby are by far the biggest attraction. Down at the Hollyford Rover there could be some nice viewpoints over the river but the river is not especially interesting or exciting in this area. The forest is moderately open but prone to being gloomy. There appear to be better sites either upstream of the Marian suspension bridge or on eh true right downstream of the current car park. </t>
  </si>
  <si>
    <t xml:space="preserve">Short loop off Marian track, Existing bridge is 0.6m wide, not up to std? </t>
  </si>
  <si>
    <t>Accessible like Knobs Flat, loop towards confluence of Hollyford &amp; Marian shown in Masterplan. Looks like good short loop could be along true right of Hollyford without need to cross</t>
  </si>
  <si>
    <r>
      <t xml:space="preserve">Main challenge is where to put it, and what are the outstanding features (if any) in that location. I note masterplan says generally level while HB8630 says up to 5 degree grade. </t>
    </r>
    <r>
      <rPr>
        <sz val="11"/>
        <color rgb="FFFF0000"/>
        <rFont val="Calibri"/>
        <family val="2"/>
        <scheme val="minor"/>
      </rPr>
      <t>Noted, may not be feasible on this basis alone. Please use HB8630 as guidance on gradient.</t>
    </r>
  </si>
  <si>
    <t>6.3.5</t>
  </si>
  <si>
    <t>Pass Creek Link Track</t>
  </si>
  <si>
    <t>New track connecting Whakatipu Node to Pass Creek Track, Lake Howden, Key Summit &amp; Divide (Divide to Howden currently Great Walk/Easy TT). Test whole loop at Easy TT standard for consistency</t>
  </si>
  <si>
    <t>Creation of a day walking loop taking in Key Summit. Aimed at more active visitors wishing to have an relatively easy day walk</t>
  </si>
  <si>
    <t xml:space="preserve">This existing track climbs steadily up from the Hollyford Valley. The beech forest is pleasant and the walk will be nice without being stunning. As part of a loop to Lake Howden, Key Summit and the Divide it is considered consistent in terms of delivering an easy tramping experience over a day. </t>
  </si>
  <si>
    <t>Divide Creek to be crossed in lower reaches</t>
  </si>
  <si>
    <t>Marian CP to Pass Creek track</t>
  </si>
  <si>
    <t>Advanced tramping track as same std as Pass Creek track; Could make it an easy point to point or could ungraded Pass Cr and make it all great walk standard - Would get more use that way and link to Divide short stop</t>
  </si>
  <si>
    <t>Agree - please test this as BCC Easy Tramping Track. Current LoS for Divide to Key Summit is Great Walk Track/Easy Tramping Track. DV Walking Track difficult to achieve without wholesale re-route so lets test the whole loop from Marian to Key Summit and return at Easy Tramping Track std to keep it consistent</t>
  </si>
  <si>
    <r>
      <t xml:space="preserve">Good call. Do we look at all of the Pass Creek track thru this lens? </t>
    </r>
    <r>
      <rPr>
        <sz val="11"/>
        <color rgb="FFFF0000"/>
        <rFont val="Calibri"/>
        <family val="2"/>
        <scheme val="minor"/>
      </rPr>
      <t>Correct</t>
    </r>
  </si>
  <si>
    <t>6.3.6B</t>
  </si>
  <si>
    <t>Key Summit Ridge Track (To Cascade Creek)</t>
  </si>
  <si>
    <t xml:space="preserve">BCC Easy TT </t>
  </si>
  <si>
    <t>New tramping style track from Key Summit alone ridge to Cascade Creek node. 1,200m climb</t>
  </si>
  <si>
    <t xml:space="preserve">Day walking track on the open and stunning Key Summit Ridge culminating in a descent down Cascade Creek to the Cascade Creek node. </t>
  </si>
  <si>
    <t xml:space="preserve">The length of the walk (16km &amp; 1,200m of climbing) is likely to mean most visitors find the experience difficult and we expect many get caught out as the journey takes more time than expected. Comparable tracks would be either shorter or flatter. </t>
  </si>
  <si>
    <t>The track in the Cascade Creek will require bridges and benching to achieve an easy track standard. One bluff to climb over &amp; bench</t>
  </si>
  <si>
    <t>Across open exposed tops, easy to advanced tramping most suitable standard, poled route on tops</t>
  </si>
  <si>
    <t>Advanced tramping track, connection to Key Summit (DV walking track) will require clear demark as different user groups</t>
  </si>
  <si>
    <t>As above, Divide to Key Summit is currently Great Walk Track standard, not DV Walking Track standard. Proposal in Appendix 2 is for Key Summit to Cascade Ck to be Easy Tramping Track, I think we look at it as both Easy and Advanced Tramping Tracks separately - but the more sensible option is for Advanced Tramping Track</t>
  </si>
  <si>
    <r>
      <t xml:space="preserve">Similar to the Countess Range two options then </t>
    </r>
    <r>
      <rPr>
        <sz val="11"/>
        <color rgb="FFFF0000"/>
        <rFont val="Calibri"/>
        <family val="2"/>
        <scheme val="minor"/>
      </rPr>
      <t>Correct</t>
    </r>
  </si>
  <si>
    <t>6.3.6A</t>
  </si>
  <si>
    <t xml:space="preserve">BCA Adv TT  </t>
  </si>
  <si>
    <t xml:space="preserve">This is already a stunning easy tops trip completed by many people already who either head down Cascade Creek or to McKellar hut. Marking the route will dramatically increase the numbers for little impact or effort. </t>
  </si>
  <si>
    <t>6.3.6C</t>
  </si>
  <si>
    <t>Key Summit Ridge Loop</t>
  </si>
  <si>
    <t>New easy tramping track to key Summit Ridge, Lake Gunn viewpoint and return on new track to The Divide</t>
  </si>
  <si>
    <t>Alternative option to full ridge providing a shorter day walk more achievable by more people but still capturing the outstand ridge travel which is the feature of this opportunity</t>
  </si>
  <si>
    <t xml:space="preserve">Option: Shorter loop track back to The Divide which showcases the 1080m high point, outstanding view of Lake Gunn and the loop creates more of a journey which is preferred by visitors. The walk would take around 3-4 hours total which is more consistent with similar offerings. </t>
  </si>
  <si>
    <t>Rock benching expected for much of the downhill loop to The Divide</t>
  </si>
  <si>
    <t>6.3.7</t>
  </si>
  <si>
    <t>Divide Creek link Track</t>
  </si>
  <si>
    <r>
      <t xml:space="preserve">New tramping style track from the Divide CP down to Marian CP top create loop - </t>
    </r>
    <r>
      <rPr>
        <b/>
        <sz val="11"/>
        <color theme="1"/>
        <rFont val="Calibri"/>
        <family val="2"/>
        <scheme val="minor"/>
      </rPr>
      <t>Added 3/11/23</t>
    </r>
  </si>
  <si>
    <t xml:space="preserve">This connects with the Pass Creek link forming a full day walking loop. </t>
  </si>
  <si>
    <t xml:space="preserve">Theis track is intended to create a loop. As such the experiences one of beech forest. There is a stunning view down the Hollyford Valley from point ?? With a viewing tower. </t>
  </si>
  <si>
    <t>6.3.8</t>
  </si>
  <si>
    <t>Pass Creek Track upgrade</t>
  </si>
  <si>
    <t>Upgrade existing Adv TT to create Easy TT loop with Pass Creek link &amp; Divide Creek Link</t>
  </si>
  <si>
    <t>CLEDDAU VALLEY &amp; MILFORD/POIPOITAHI</t>
  </si>
  <si>
    <t>6.4.1</t>
  </si>
  <si>
    <t>Gertrude Loop</t>
  </si>
  <si>
    <t>New 700m high quality short walk plus upgrade of existing Advanced tramping track to create a short stop loop. Consider opportunities for getting a viewpoint (possibly true left of Gertrude Creek) as part of walk</t>
  </si>
  <si>
    <t>Aim is to provide an easy alpine walk with views to the head of the valley &amp; surrounds</t>
  </si>
  <si>
    <t xml:space="preserve">This mostly alpine open valley offers visitors the only real opportunity above bush line. The short loop track would take visitors through boulder fields and stunted mountain beech forest to a viewpoint looking to the head of the valley as well as at the psychopath Rock wall and ice fall on the slopes below Mt Talbot. </t>
  </si>
  <si>
    <t>The terrain is mostly a boulder field. Rock breaking and blasting together with a bridge and boardwalk over the Gertrude Creek is necessary to provide for an all weather short walk. Clearly issues with river aggrading at Homer huts and this may impact bridge position and height. See recently placed bridge upstream was underwater in 21 Sept 23 flood event</t>
  </si>
  <si>
    <t>Short section on TR of creek to link to existing track. Ex section of track is easy tramp so upgrade, may require significant bridge (or low water route only); natural hazards an issue (rock fall, shingle, flooding) No obvious avo signs</t>
  </si>
  <si>
    <t>Walking track to match existing easy section of Gertrude saddle track - High potential use</t>
  </si>
  <si>
    <t>Test this as SST Short Walk standard</t>
  </si>
  <si>
    <t>OK, a slightly higher standard</t>
  </si>
  <si>
    <t>6.4.2</t>
  </si>
  <si>
    <t>The Chasm to Horse Bridge</t>
  </si>
  <si>
    <t>DV</t>
  </si>
  <si>
    <t>New day walk connecting these existing sites on the true left of the Cleddau River</t>
  </si>
  <si>
    <t xml:space="preserve">Aiming for an outstanding short walk in the Cleddau Valley with views across the Cleddau River, to the rocky faces of Sheerdown Peak. Taking in the Chasm and Horse Bridge will provide a link at each end which are points of interest in their own right. </t>
  </si>
  <si>
    <t>This route combines the hugely popular Chasm with an easy down valley walk including a stunning 500m with open rock faces overlooking the Cleddau River. Ending at the Historic Horse bridge (remains included in a new bridge) will create a lovely short walk</t>
  </si>
  <si>
    <t>Similar resilience or hazard issues to Lake Gunn section. This route requires 180m of rock face bridge with potential for vegetation debris flow impacts. Bridging the Chasm appears feasible in either existing or a new location</t>
  </si>
  <si>
    <t>New trail from bridge to run on TL of Cleddau River down to Horse Suspension bridge</t>
  </si>
  <si>
    <t>Walking track, Will function as an easy day walk, 1.5m wide formed, gravelled and drained, approx. 1hr one way, hazard issues (Avo), MRA don't like as would bypass road barrier</t>
  </si>
  <si>
    <t>6.4.3</t>
  </si>
  <si>
    <t>Tutoko River Track</t>
  </si>
  <si>
    <t>New day walk connecting the airstrip and the historic Tutoko Bridge</t>
  </si>
  <si>
    <t>Aiming for an easy pleasant forest walk for visitors wanting to explore the lower valley as part of their stay in Milford Poipoitahi</t>
  </si>
  <si>
    <t xml:space="preserve">While aimed at visitors staying the  Milford sound Lodge, this easy valley walk will be a must do for people seeking a short walk close to Milford with great views across the river, swimming holes on a hot day and ending at the lodge. </t>
  </si>
  <si>
    <t>Short difficult section near Milford Lodge to avoid long bridge and flooding on island. Appears feas9ible with short bridge, rock breaking/blasting and soe retaining of loose gravel banks</t>
  </si>
  <si>
    <t>Trail between river and Road from existing CP to Tutoko River bridge, consider if some could be accessible</t>
  </si>
  <si>
    <t>Walking track,  1.5m wide formed, gravelled and drained, approx. 1hr one way, above road looks better but requires road Xing</t>
  </si>
  <si>
    <t>6.4.4</t>
  </si>
  <si>
    <t xml:space="preserve">Barren Peak Spur Walk &amp; Viewing Deck </t>
  </si>
  <si>
    <t>Upgrade of the existing Barren Spur walk, consider if loop option possible to reduce congestion, steps &amp; platforms included</t>
  </si>
  <si>
    <t>Aiming to provide a better viewing spot which cuts out the building in the foreground and only adds a few minutes to the experience for a significantly better reward</t>
  </si>
  <si>
    <t xml:space="preserve">This short walk is already a visitor success. Improving the surface and width will improve the overall experience for the large numbers of people who use it. By adding in the higher viewpoint, more energetic visitors can spend an additional 10 minutes and gain a much more comprehensive view across the sound to Mitre Peak. </t>
  </si>
  <si>
    <t>The existing track is narrow and not fit for purpose. This would be widened to the existing platform. A new track would take people higher up slope and deliver a greater view out and over the buildings which become obscured by the foreground trees. A section of stairs is necessary bolted to rock to reach to upper viewpoint</t>
  </si>
  <si>
    <t>Easy but steep Short walk up spur from hotel. Existing track upgrade/realignment + new viewing platforms</t>
  </si>
  <si>
    <t>Walking track , steep hill so short walk standard will be hard to achieve, but its close to accommodation and would be best aimed at Short Walk standard. Will need steps for sure</t>
  </si>
  <si>
    <t>Agree. This is proposed to be a mix of track and structures so steps/stairs is ok. Appendix 2 refers to it as Piopiotahi Viewing Deck Walkway (ref. PHub16)</t>
  </si>
  <si>
    <t xml:space="preserve">OK,  </t>
  </si>
  <si>
    <t>6.4.5</t>
  </si>
  <si>
    <t>Bowen Falls - Lower, upper &amp; Bowen Valley</t>
  </si>
  <si>
    <t>SST &amp; BCC Easy Tramping</t>
  </si>
  <si>
    <t>(1) Existing lower pontoon walk to lower falls viewing area SST, (2) new SST walk from top of 'gondola' along ridge to view the top of falls from viewing platform + steps to manage grades, (3) new Easy TT to the upper Bowen Valley</t>
  </si>
  <si>
    <t xml:space="preserve">Aiming to capture the power and excitement of the upper falls as the water drops off the cliff face. The views from the top will be outstanding being 250m above the fiord. </t>
  </si>
  <si>
    <t xml:space="preserve">On paper it looks like a short walk form the cable car top station to the Bowen Falls would work. However the vertical drop of between 70-90m to reach a good view of the falls is considered outside of the range of much of the short stop visitor group. Easy tramping to the Bowen Valley would be a very easy short walk and end in a lovely bouldery creek, ideal for stunning photos or as a route to the upper valley. </t>
  </si>
  <si>
    <t xml:space="preserve">Form the top station a track could work its way down 70m to the top of the falls. A short 15m bridge and viewing platform on a rock knoll would give an amazing view across he top of the falls. A lower viewing platform would require sections of stairs and rock face bridge but reaches a point where the waterfall is bouncing off a rock and appears to offer a much more memorable experience. </t>
  </si>
  <si>
    <t>Short sections of track to access Bowen Falls incl BW or pontoons; Current requires boat access &amp; is Great Walk std + access to upper falls and valley</t>
  </si>
  <si>
    <t>Path/Short Walk  - 500m; engineering stream for structures</t>
  </si>
  <si>
    <t>Agree SST Short Walk appropriate, although Bowen Valley Track may be better at Walking Track/Easy Tramping Track standard. To discuss further</t>
  </si>
  <si>
    <r>
      <t xml:space="preserve">The section linking from the gondola to the falls will need to be SST, </t>
    </r>
    <r>
      <rPr>
        <sz val="11"/>
        <color rgb="FFFF0000"/>
        <rFont val="Calibri"/>
        <family val="2"/>
        <scheme val="minor"/>
      </rPr>
      <t>Agree</t>
    </r>
    <r>
      <rPr>
        <sz val="11"/>
        <color theme="9" tint="-0.249977111117893"/>
        <rFont val="Calibri"/>
        <family val="2"/>
        <scheme val="minor"/>
      </rPr>
      <t xml:space="preserve"> other walk up valley should be easy tramp </t>
    </r>
    <r>
      <rPr>
        <sz val="11"/>
        <color rgb="FFFF0000"/>
        <rFont val="Calibri"/>
        <family val="2"/>
        <scheme val="minor"/>
      </rPr>
      <t xml:space="preserve">Agree as a starting point, but open to review - conscious that the type of visitor likely to use the lift (and therefore go walking from it) likely to tend toward the inexperienced/needing better walking surface i.e. DV Walking Track </t>
    </r>
    <r>
      <rPr>
        <sz val="11"/>
        <color theme="9" tint="-0.249977111117893"/>
        <rFont val="Calibri"/>
        <family val="2"/>
        <scheme val="minor"/>
      </rPr>
      <t xml:space="preserve">  </t>
    </r>
  </si>
  <si>
    <t>Bowen Falls lower</t>
  </si>
  <si>
    <t xml:space="preserve">The lower falls route has been highly successful in the past and reinstatement will achieve this outcome again. There is an option of a lower falls viewing platform which could provide comparable views to the upper falls </t>
  </si>
  <si>
    <t xml:space="preserve">While the view form the base of the falls is stunning and includes the dramatic pressure and spray effects not experienced on the boat journey, there is also the possibility of a superb view of the lower part of the falls themselves by creating a gantry up the rock face climbing 50-60m. </t>
  </si>
  <si>
    <t>The solid rock faces on the  true left of the falls appears suitable for bolting a structure up the face to a viewing platform. The terrain is sub-vertical making such a stairway/landing system feasible with significantly lower cost and impact than a cable car to the top</t>
  </si>
  <si>
    <t>6.4.6</t>
  </si>
  <si>
    <t xml:space="preserve">Cleddau Delta Walks </t>
  </si>
  <si>
    <t>New short walk(s) within the mature forest of the delta. Test as accessible option. Length up to 2km considered</t>
  </si>
  <si>
    <t>Aiming to create an easy track(s) which could be added to a day in Milford Poipoitahi. The Delta offers outstanding mature lowland forest and has numerous viewpoints across the fiord</t>
  </si>
  <si>
    <t xml:space="preserve">This very flat mature forest occupies a wedge of land between the airport and deepwater basin. There is a range of existing trapping tracks across the site and these give stunning views up the sound, to the peaks and valley and Bowen Falls. The absence of visible structures from much of the walk adds a level of naturalness unexpected in such a location. The terrain lends itself to a high quality nature walk and will be very heavily used. </t>
  </si>
  <si>
    <t xml:space="preserve">As the terrain is between 0 and 2m above sea level, careful selection of the higher drier areas combined with boardwalks will be necessary to achieve the required track standard. Additionally, sea level rise should be considered in the longer term design where feasible. </t>
  </si>
  <si>
    <t>Alignment and so forth very unclear</t>
  </si>
  <si>
    <t>high quality tracks + BW etc</t>
  </si>
  <si>
    <r>
      <t xml:space="preserve">I see Stantec Boffa report shows this as 3,600m? </t>
    </r>
    <r>
      <rPr>
        <sz val="11"/>
        <color rgb="FFFF0000"/>
        <rFont val="Calibri"/>
        <family val="2"/>
        <scheme val="minor"/>
      </rPr>
      <t>See my comment in covering email</t>
    </r>
    <r>
      <rPr>
        <sz val="11"/>
        <color theme="9" tint="-0.249977111117893"/>
        <rFont val="Calibri"/>
        <family val="2"/>
        <scheme val="minor"/>
      </rPr>
      <t xml:space="preserve"> </t>
    </r>
  </si>
  <si>
    <t>TOTAL ALL TRACKS</t>
  </si>
  <si>
    <t>(m)</t>
  </si>
  <si>
    <t>Say 75% of total time</t>
  </si>
  <si>
    <t>Assessment Method Commentary</t>
  </si>
  <si>
    <t>Total concept length in metres</t>
  </si>
  <si>
    <t>Track Type</t>
  </si>
  <si>
    <t>Refer Level of Service and standards sections of this report for details</t>
  </si>
  <si>
    <t>Technically feasible</t>
  </si>
  <si>
    <t>Yes or No with comments in the following box</t>
  </si>
  <si>
    <t>Technical Commentary</t>
  </si>
  <si>
    <t>Summary of the major technical challenges to building or operating the proposed track</t>
  </si>
  <si>
    <t>Key Risks</t>
  </si>
  <si>
    <r>
      <t xml:space="preserve">Risk Types including; Bridges, Structures, Landslides, Weather, People, Flooding, Avalanche, Budget, Maintenance.   Estimated Exposure level is assumed Low unless shown </t>
    </r>
    <r>
      <rPr>
        <b/>
        <sz val="11"/>
        <color theme="1"/>
        <rFont val="Calibri"/>
        <family val="2"/>
        <scheme val="minor"/>
      </rPr>
      <t>M</t>
    </r>
    <r>
      <rPr>
        <sz val="11"/>
        <color theme="1"/>
        <rFont val="Calibri"/>
        <family val="2"/>
        <scheme val="minor"/>
      </rPr>
      <t xml:space="preserve">edium or </t>
    </r>
    <r>
      <rPr>
        <b/>
        <sz val="11"/>
        <color theme="1"/>
        <rFont val="Calibri"/>
        <family val="2"/>
        <scheme val="minor"/>
      </rPr>
      <t>H</t>
    </r>
    <r>
      <rPr>
        <sz val="11"/>
        <color theme="1"/>
        <rFont val="Calibri"/>
        <family val="2"/>
        <scheme val="minor"/>
      </rPr>
      <t>igh</t>
    </r>
  </si>
  <si>
    <t>Risk commentary</t>
  </si>
  <si>
    <t>Comments on scope of anticiapted risk</t>
  </si>
  <si>
    <t>Visitor Experience met</t>
  </si>
  <si>
    <t>Yes or No with commentary in the following box</t>
  </si>
  <si>
    <t>Visitor Experience Commentary</t>
  </si>
  <si>
    <t>Summary of the experience highlights and low lights to support the visitor experience, why it would be successful or unsuccessful</t>
  </si>
  <si>
    <t>Structures</t>
  </si>
  <si>
    <t>What are the major critical structures necessary to achieve the experience</t>
  </si>
  <si>
    <t>Toilets</t>
  </si>
  <si>
    <t>What is already onsite and what additional facilities are necessary to meet user expectations</t>
  </si>
  <si>
    <t>Construction Cost</t>
  </si>
  <si>
    <t>high level development cost Nov 2023</t>
  </si>
  <si>
    <t>Operating Cost</t>
  </si>
  <si>
    <t>Estimated maintenance and operational costs Nov 2023</t>
  </si>
  <si>
    <t>Sustainability &amp; Resilience</t>
  </si>
  <si>
    <t>What are the risks with developing the opportunity, can it be sustained from revenue generated by the track, trail or hut</t>
  </si>
  <si>
    <t>Other Comments</t>
  </si>
  <si>
    <t>Related commentary not otherwise covered above</t>
  </si>
  <si>
    <t xml:space="preserve">Summary </t>
  </si>
  <si>
    <t>Concluding remarks on the opportunity</t>
  </si>
  <si>
    <t>Te Anau Downs to Cascade Creek cycle trail</t>
  </si>
  <si>
    <t xml:space="preserve">Review Comments </t>
  </si>
  <si>
    <t>NZCT Grade 2 cycle trail, 1.8-2m wide, smooth compacted aggregate surface</t>
  </si>
  <si>
    <t>Yes</t>
  </si>
  <si>
    <t>Steep colluvium slopes on the true right at Limestone Gorge and Eglinton Confluence to bench across with potential for upslope batter creep, flood impacts at Eglinton East confluence, flat swampy ground in Eglinton Valley and true right in lower valley, mature native forest &amp; ecological management, parts of site are remote construction with potentially long &amp; expensive supply lines</t>
  </si>
  <si>
    <t>Risk Commentary</t>
  </si>
  <si>
    <t>Visitor Experience Met</t>
  </si>
  <si>
    <t xml:space="preserve">Remote riding experience on true right of Eglinton River between river mouth and Limestone Gorge through a mix of mature red beech forest and regenerating Manuka scrub with short grassland sections, Bridge over the lower river reach with views towards the Murchison Mtns, interesting glacial outwash terrain on southern end of Earl Mtns with potential for story telling sites at interesting hillocks, gentle terrain and limited uphill's making the riding easily achievable and consistent with FTT trails, Hidden Lake is secluded remote lake similar to Mirror Lakes with potential for jetty or viewing platform and rest stop. Good staging area at Te Anau Downs and Cascade Creek for start &amp; finish. </t>
  </si>
  <si>
    <t>Two large bridges over Eglinton Valley; River mouth ??m, Mid Eglinton ??m, numerous minor bridges between 6-20m across side streams, numerous short boardwalks across low lying wet or soft areas subject to sheet flow flooding between 6-100m in length, Viewing platform at Hidden Lake, jetty at Lake Gunn</t>
  </si>
  <si>
    <t>Toilets are available at Te Anau Downs, Deer Flat, Upper Eglinton Camp, Cascade Creek camp (all vault type) &amp; Knobs Flat (Flush). Toilets would be required at the Hillocks @ 10km, Limestone Gorge area @ 20km &amp; Hidden Lake @ 30km</t>
  </si>
  <si>
    <t>My initial est ballpark of $15M was pretty close</t>
  </si>
  <si>
    <t>Subject to tree fall, flooding within Eglinton River margins and side streams, potential vegetation debris slide areas where close to valley wall rock faces between Limestone Gorge and Eglinton East</t>
  </si>
  <si>
    <t xml:space="preserve">Cascade Creek has a really good staging area and has a nice ambience for start or finishing of the ride. Its distance from the main divide has a positive impact on weather with significantly reduce rainfall. By connecting the trail via Lake Gunn and a bridge across the outlet riders will still get a stunning view across Lake Gunn. </t>
  </si>
  <si>
    <t>Cascade Creek to The Divide cycle trail</t>
  </si>
  <si>
    <t>Probably</t>
  </si>
  <si>
    <t>Very steep rock faces along the western side of Lake Gunn are considered technically feasible with similar solution to Lake Dunstan Trail (Rock face bridges). However these faces are potentially subject to vegetation debris slides which periodically occur wiping the rock face clean. A review of historic aerial imagery on Retrolens suggests these are infrequent &lt;1 in 20yr events. However the interplay between track/bridge formation and debris slide is unknown. Steep rock colluvium slopes above Lake Fergus above SH94</t>
  </si>
  <si>
    <t>Yes - outstanding riding/walking experience</t>
  </si>
  <si>
    <t>Riding 1,400m across a rock face in temperate rain forest with views of The Divide, Key Summit and lower Eglinton Valley, suspended 30m above the lake, Stunning Melita Falls would be accessible bringing in a short walk to stunning falls previously assessable (prior to 1980's), would complete a ride to The Divide and bring in a distinct change in vegetation patterns between Cascade Creek and The Divide as rainfall increases significantly on this section</t>
  </si>
  <si>
    <t>Very long rock face bridges up to 1.6km, suspension bridges over Melita Falls and other small water courses</t>
  </si>
  <si>
    <t>Toilets are available at Cascade Creek camp, Lake Gunn day use area and The Divide (all vault type). No additional toilets required</t>
  </si>
  <si>
    <t xml:space="preserve">Subject to potential vegetation debris slide areas on steep rock faces along Lake Gunn. Also subject to potential for alluvial fan (shingle fan) across at least three minor watercourses that can result in debris flows damaging track sections, steep terrain with potential for tree wind fall, higher rainfall likely to result in more trail surface erosion </t>
  </si>
  <si>
    <t>Consideration given to ending at Lake Gunn day use area at north end of the lake, but this area lacks parking space and is quite shadowy and not inspiring as a start or end. The Divide while already busy is well formed, has plenty of space and is a well known start and end for various walks so could cater to this new activity. It also has more sense of arrival. From The Divide is mostly downhill with a tail wind to Te Anau Downs</t>
  </si>
  <si>
    <t>Te Anau Downs to Black Creek cycle trail via SH94</t>
  </si>
  <si>
    <t xml:space="preserve">Yes </t>
  </si>
  <si>
    <t xml:space="preserve">Trails formed along the margins of roads require considerable support from the adjoining landowners as the legal boundaries will not provide sufficient legal width to form the trail. Additionally, the proximity of the roadway provide challenges in earthworks and drainage. Technical challenges are all solvable with proven solutions available. </t>
  </si>
  <si>
    <t>No - severely compromised by proximity of road and traffic noise/speed</t>
  </si>
  <si>
    <t xml:space="preserve">Generally the riding experience along highways does not meet expectations for the main user groups. This is reflected in usage statistics on a number of NZCT great rides where significant lengths that are adjoining or use roads. Since 2013 all cycle trails have aimed to eliminate riding on or along road margins where possible. However, there is potential with landowner support to incorporate a section of red beech forest between the S bends west of Boyd Creek and Walkers Creek. Also nice forest riding between Totara Flat and McKay Creek on the hillside of SH94. Takes in Eglinton Reveal which is a plus, stunning bridge over Eglinton East River  a feature before joining preferred route at Black Creek. </t>
  </si>
  <si>
    <t>Numerous small bridges and boardwalks over watercourses downstream of existing SH94 bridges or culverts. Sections of raised boardwalk where road batters are too steep. Bridges over Walkers Creek, McKay creek &amp; Eglinton East River (85m)</t>
  </si>
  <si>
    <t>Toilets are available at Te Anau Downs &amp; Totara Flat. 2 Additional toilets will be required at 10km spacings to meet users expectations</t>
  </si>
  <si>
    <t xml:space="preserve">The trail is mostly protected from natural hazards by the existing road formation. However the existing land erosion near Eglinton River west of Boyd Creek maybe an ongoing issue but appears mostly addressed by highway management. </t>
  </si>
  <si>
    <t xml:space="preserve">The overall riding experience is likely to be below visitor expectations due to the speed of vehicles on the highway, number of vehicles on the roadway (AADT 1148 &amp; 144 heavy's -bus &amp; trucks). Additionally the riding will not offer much uniqueness as riding along the margin of roads is not unique. It will be inconsistent with the FTT trails connecting to Te Anau Downs which are separate from road following the lakeshore so unlikely to lead visitors to continue riding to Eglinton Reveal. High probability of riders getting a shuttle to Eglinton Reveal to bypass roadside sections. </t>
  </si>
  <si>
    <t>Countess Range Track &amp; Hut - Advanced Tramping Track &amp; 20 Bed hut - OPTION 1</t>
  </si>
  <si>
    <t>GT: User group essentially the same, numbers impact BCA tracks heavily</t>
  </si>
  <si>
    <t>Advanced tramping track, no benched formation, marked or poled, major creeks bridged</t>
  </si>
  <si>
    <t>Hut Type</t>
  </si>
  <si>
    <t>20 bed serviced alpine hut with water, solar, hut warden (peak season only)</t>
  </si>
  <si>
    <t>There are no technical challenges with the track. The hut site(s) have been identified based on a similar footprint to Moonlight Tops and there are 3 possible options with the preferred one on a gentle spur with a stunning rock scarp backdrop.</t>
  </si>
  <si>
    <t xml:space="preserve">This track &amp; hut will provide a similar experience to Brewster Hut and Mt Brown Hut which are both advanced tramping tracks with huts above bush line within 3-5hrs of the road end. The track route offers a loop with interesting red beech forest transitioning into mountain beech higher up. This opens into sub-alpine scrub with boulder fields and interesting wetlands. The loop offers up a range of different views over a simple there and back route. The hut site has panoramic views with scenery stretching 250 degrees from Mt Titiroa in the south to Consolation Peak in the north. Sunsets will be spectacular due to the north-west orientation and the height above surrounding hills. </t>
  </si>
  <si>
    <t xml:space="preserve">There are two boardwalks required across wet areas on the track. A boardwalk to protect wetland values is also required on the alpine tops. Given the user group it is not considered necessary for shelters at the bush line as the visitor group is capable of managing their own requirements. Shelters can also become defacto sleeping areas. </t>
  </si>
  <si>
    <t>2x toilets will be required at the hut</t>
  </si>
  <si>
    <t>The limited track formation means that annual operating costs are minimised to vegetation clearance and ensuring track markers are clear. 5yr inspections of any structures is also required. For the hut it will be essential to ensure weather tightness in design and construction. The site is in a very high wind zone and the combined effects of wind and rain need consideration during details design. The rock fall hazard from the scarp behind the hut is considered to be beyond the range of the hut sites but should be considered by other work streams</t>
  </si>
  <si>
    <t>This hut and loop track will be an outstanding walk and overnight experience for active visitors. Offering a 3-5hr walk each day with a stunning overnight hut location we expect this hut to be at capacity all season.</t>
  </si>
  <si>
    <t>Countess Range Track &amp; Hut - Easy Tramping Track &amp; 40 Bed hut - OPTION 2</t>
  </si>
  <si>
    <t>Easy tramping track, benched formation 0.6m wide on slopes &gt;30 degrees, marked/poled, Mostly firm surface, all creeks bridged</t>
  </si>
  <si>
    <t>40 bed serviced alpine hut with water, solar, hut warden (peak season only)</t>
  </si>
  <si>
    <t xml:space="preserve">Forming a track up the 1,000m with approximately ??m of benching is possible but will require removal of numerous mature beech trees as well as other understory. In the alpine zone, much of the track length will need to be benched as well and this generates greater potential for erosion and environmental impact. The Hut's size and bulk presents issues for finding sufficient area to accommodate the footprint within out simply going up. Additionally, for a 40 bed hut the required effluent disposal system will need to be doubled over a 20 bed hut.  </t>
  </si>
  <si>
    <t>Yes (track), No (hut)</t>
  </si>
  <si>
    <t xml:space="preserve">The track will be accessible to a greater range of visitors by being more benched and unform. Walking this lop track will be a great day out or overnight experience. The Hut at this size is unlikely to meet expectations as its will be very large, dominate its surroundings, be much noisier and less 'cosy' and these factors combined are unlikely to produce the desired visitor experience. As a comparison </t>
  </si>
  <si>
    <t>There are nine Small bridges/boardwalks required across small watercourses on the track. A boardwalk to protect wetland values is also required on the alpine tops. Consideration for a shelter on the northern approach + toilet</t>
  </si>
  <si>
    <t>4x at hut plus 1 at shelter site</t>
  </si>
  <si>
    <t>Maintenance of an easy tramping track requires much greater attention with regular clearance of any tree fall to ensure visitors can use the track. The larger hut will require the same considerations during detailed design as the smaller hut</t>
  </si>
  <si>
    <t xml:space="preserve">The footprint (bulk) of a 40 bed hut in an exposed alpine environment presents a number of challenges. Environmental due to increased ground disturbance, bulk in the landscape on an exposed feature where it will be more visible, and experiential where the sheer number of people will detract from visitors perception of the experience (more noise, congestion etc). Additionally, to meet this user group it may be necessary to also have a shelter at the northern approach bush line as the weather and temperature can often be significantly harsher above the bush line. </t>
  </si>
  <si>
    <t>Eglinton River Trail</t>
  </si>
  <si>
    <t>Accessible short walk</t>
  </si>
  <si>
    <t>Yes - very easy</t>
  </si>
  <si>
    <t>None</t>
  </si>
  <si>
    <t>No obvious risks</t>
  </si>
  <si>
    <t xml:space="preserve">This is the first stop for most visitors to the Eglinton Valley. This is where they get out and stretch their legs and get their first glimpse of a big U shaped valley, forested hills and snowy mountains. The short walk could take in a view over a small horseshoe lake and wetland and its length could easily be increased. Flat terrain making formation to accessible standards very easy. </t>
  </si>
  <si>
    <t>None required</t>
  </si>
  <si>
    <t>Toilets may form part of the main reveal visitor experience and will support the track. Landscape impacts are outside the scope of this assessment</t>
  </si>
  <si>
    <t>GT: Any toilets would have an impact on horizon and view line, DOC have avoided similar proposals</t>
  </si>
  <si>
    <t>The terrain is not considered to be impacted by any natural hazards that would affect long term sustainability. Maintenance will be easy and cost effective due to close proximity to the road, likely to get very high use due to its location at the Reveal node and entry gate</t>
  </si>
  <si>
    <t xml:space="preserve">Perfect terrain for an easy track as visitors disembark from their vehicles and start the real Milford Piopiotahi experience. Easy to lengthen as required and provide interpretation along its length. </t>
  </si>
  <si>
    <t>Te Huakaue Knobs Flat Short Walks</t>
  </si>
  <si>
    <t>Accessible &amp; short walks plus easy tramping track to waterfall</t>
  </si>
  <si>
    <t>Bridges across Kiosk Creek which is subject to bed aggrading (shingle build up). Viewing platform and stairs at waterfall</t>
  </si>
  <si>
    <t>The beech forest is delightfully mossy and open between the Knobs Flat accommodation and Kiosk Creek making a walk around this area very pleasant and the terrain is flat so ideally suited to accessibility. The track to the waterfall gets lovely afternoon sun and for  a short climb gains a stunning plunging waterfall with access to the plunge pool. The forest upslope of Knobs Flat is mostly dense understory and not pleasing so we have instead focused on the lower part of the site.</t>
  </si>
  <si>
    <t>Bridges across Kiosk Creek and a viewing platform with stairs at the Waterfall</t>
  </si>
  <si>
    <t>Existing flush toilets are available at Knobs Flat and a vault toilet at kiosk Creek</t>
  </si>
  <si>
    <t xml:space="preserve">Bridge sites on Kiosk Creek are all 'much of a muchness' in that the Kiosk Creek is an alluvial fan. It appears this fan is active and the river bed is aggrading with evidence of shingle being dug out at SH94. It will be important to ensure the bridges are secured using long posts as opposed to gabions, this will provide greater flood/debris flow capability. Ongoing work to clear gravel must be accepted with bridges over this creek. </t>
  </si>
  <si>
    <t xml:space="preserve">The Waterfall Track is a hidden gem. This informal track could be upgraded to easy tramping standard and would become part of the must do activities on the Milford Road. </t>
  </si>
  <si>
    <t>Lake Gunn Nature Walk upgrades</t>
  </si>
  <si>
    <t>Track type</t>
  </si>
  <si>
    <t>Proposed upgrades</t>
  </si>
  <si>
    <t>The existing accessible track has a number of shorts sections that are too narrow for wheelchair accessibility or the rough or soft surface would make wheelchair use difficult . Additionally, there is no way for wheelchair users to gain access to the beach or view Lake Gunn.</t>
  </si>
  <si>
    <t>Visitor Experience comments</t>
  </si>
  <si>
    <t>The existing track provides an easy day walk but falls short of meeting the needs of accessible users. The planned upgrades are aimed at addressing this shortcoming.</t>
  </si>
  <si>
    <t>A new short jetty and boardwalks giving access to and onto the edge of Lake Gunn is required to ensure all visitors have an outstanding experience</t>
  </si>
  <si>
    <t>Existing  toilets are available at the Lake Gunn Nature Walk car park and at Cascade Creek campsite</t>
  </si>
  <si>
    <t>The track is subject to intermittent inundation from lake Gunn. Any boardwalks and jetty will need to consider the effects of floatation and wave action in the design.</t>
  </si>
  <si>
    <t>Key Summit to Cascade Creek - Easy tramping track - OPTION 1</t>
  </si>
  <si>
    <t>Advanced tramping track</t>
  </si>
  <si>
    <t>Low; Marking and clearing a line through vegetation to achieve an advanced tramping track is very achievable. No bridges in Cascade Creek, route in river bed</t>
  </si>
  <si>
    <t xml:space="preserve">Superb gently contoured open tops with stunning panoramic views across the Darren, Earl, Ailsa and Livingstone mountains. Easy tops travel which is rare in Fiordland, beautiful alpine tarns and lakes, boulder hopping Cascade Creek adds a nice bit of variety to this long day walk. Potential for camping on the tops to make an overnight experience. </t>
  </si>
  <si>
    <t>Visitor Experience Risks</t>
  </si>
  <si>
    <t xml:space="preserve">The route is almost 18km and includes over 1,250m of vertical gain. This represents a long hard day for most trampers and it is possible that the predominant user group will find this at the hard end of their capability. This could reduce use significantly or encourage overnight camping on the tops or use of McKellar Hut as an alternative. </t>
  </si>
  <si>
    <t>None, track is marked with poles or orange triangles and the line cleared through vegetation</t>
  </si>
  <si>
    <t>There is an existing toilet at Key Summit, The Divide car park and Cascade Creek. A toilet mid way along the ridge is recommended</t>
  </si>
  <si>
    <t xml:space="preserve">As the track requires only limited marked and no benching this will require minimal maintenance and will have a low impact. Care is required to avoid sensitive areas on the tops including bogs, cushion fields etc. </t>
  </si>
  <si>
    <t xml:space="preserve">DOC's Experience Design plan (EDP) following the 2020 floods anticipates upgrades to The Divide car park amenity space and the Key Summit tracks and destination. As at the team of writing the Key Summit tracks are planned to be upgraded. This work will support making the ridge top walk more appealing to more visitors. </t>
  </si>
  <si>
    <t>Key Summit to Cascade Creek - Advanced tramping track - OPTION 2</t>
  </si>
  <si>
    <t>Easy tramping track</t>
  </si>
  <si>
    <t>The track requires considerable benching and bridges in Cascade Creek to achieve an easy tramping standard. Benching is not considered necessary for most of the open ridge as existi9ng tracks appear to wear into a gravelly substrate quite quickly. but maybe required to descend into Cascade Creek</t>
  </si>
  <si>
    <r>
      <rPr>
        <b/>
        <u/>
        <sz val="11"/>
        <color theme="1"/>
        <rFont val="Calibri"/>
        <family val="2"/>
        <scheme val="minor"/>
      </rPr>
      <t xml:space="preserve">Maybe: The route is almost 18km and includes over 1,250m of vertical gain. </t>
    </r>
    <r>
      <rPr>
        <sz val="11"/>
        <color theme="1"/>
        <rFont val="Calibri"/>
        <family val="2"/>
        <scheme val="minor"/>
      </rPr>
      <t>This visitor group is more sensitive than advanced trampers to the length and climbing required to complete a day walk. Based on similar day walks, this will be at the very long &amp; hard end and we believe will not meet most of this user groups expectations. This could be solved by either making it an overnight experience (hut) or by shortening the length</t>
    </r>
  </si>
  <si>
    <t>The same highlights as for advance tramping apply except a benched track in the Cascade Creek with bridges is required for this user group</t>
  </si>
  <si>
    <t>Two bridges are required in Cascade Creek to ensure all weather travel as there is no way around these and boulder hopping is not within the capability of the visitor group. Fully benched track in Cascade Creek 2.5km plus some benching on short steep sections required</t>
  </si>
  <si>
    <t>As for advanced tramping a new toilet is likely required part way along the ridge where people naturally gather &amp; stop</t>
  </si>
  <si>
    <t>There are good locations for two bridges in the Cascade Creek. The majority of the tops travel will require little formation so low impact on fauna and flora, minimal maintenance of the above bush line section</t>
  </si>
  <si>
    <t>An alternative shorter loop from Point 1086 above Lake Lochie back to The Divide could provide a 4-5hr day walk over 8.5km which may better suit the visitor experience</t>
  </si>
  <si>
    <t>Lake Marian Loop Track; True left of Marian Creek</t>
  </si>
  <si>
    <t>The terrain is composed of large boulders generated by rock fall overlain by mature beech forest. Understorey is limited. This terrain will make for slow rock breaking or blasting type construction. It is hoped that this will generate sufficient small material to create a uniform surface suitable for the BCC standard. There are some short sections of steep rock face. The bridge site in the lower Marian Creek is critical to success and requires detailed assessment. An alternative could be a bridge over the Hollyford below the Marian creek confluence.</t>
  </si>
  <si>
    <t>The stakeholder engagement identified congestion as a real issue on this and the waterfall track. By creating a loop the pressure will be taken off the existing track on the true right. However it does not appear feasible to take the pressure off the lower waterfall track with this proposal.</t>
  </si>
  <si>
    <t>Bridge over lower Marian Creek 35-40m is essential</t>
  </si>
  <si>
    <t>Existing toilets at Marian car park and Lake Marian, no additional toilets considered necessary</t>
  </si>
  <si>
    <t>While technically feasible, it is likely that this track will have similar challenges in operation to the existing true right from flooding and debris flows. The base of the valley is quite narrow and gaining enough elevation to avoid natural hazards is not straight forward so we expect higher costs for treefall, rock fall and debris flow as most cannot be mitigated through location or design</t>
  </si>
  <si>
    <t>DOC's Experience Design plan (EDP) following the 2020 floods anticipates upgrades to the existing car park, potential for a short loop with viewing platform on the true right of the Hollyford and various upgrades to the Waterfalls and lake tracks aimed at improving the overall visitor experience. As at the team of writing DOC plans to install a viewing platform near the upper waterfalls only. This will integrate nicely with the proposed upgrades of the waterfall and lake tracks. Additionally the suggested short loop near the car park is consistent with our suggested accessible loop</t>
  </si>
  <si>
    <t>Lake Marian Falls Track</t>
  </si>
  <si>
    <t>Upgrade existing Easy Tramping Track to Short Walk standard</t>
  </si>
  <si>
    <t>Replcae short narrow 'bridges' to achieve uniform width, upgrade rouhg track sections and widen or lengthen the gantries to create consistency to the top of the falls</t>
  </si>
  <si>
    <t>Easier more accessible track from beginning to end including the upper gantry viewing platform. Wider trail will improve flow and reduce congestion especially the pinch points at small bridges and corner structures. New viewing platform proposed in EDP compliments upgrades</t>
  </si>
  <si>
    <t>Widen existing structures to 1.5m ideally</t>
  </si>
  <si>
    <t>Existing toilet at Marian car park</t>
  </si>
  <si>
    <t>The track has been successfully operating for decades and issues like resilience and storm damage have been mostly resolved. The gantry viewing platforms are sufficiently clear of the creek and the track is stable with good vegetation protecting the envelopes</t>
  </si>
  <si>
    <t>As one of the most popular short walks the upgrades will serve to reduce congestion and enhance the visitor experience with little downsides</t>
  </si>
  <si>
    <t>Lake Marian Track; upgrade</t>
  </si>
  <si>
    <t>Upgrade advanced tramping track to Easy tramping track</t>
  </si>
  <si>
    <t>Improved flow with less congestion at pinch points like the two obvious 'scramble' sections,  and easier more uniform walking surface which will suit a broader range of  visitors</t>
  </si>
  <si>
    <t>2 short bridges</t>
  </si>
  <si>
    <t>Toilet at Lake Marian - recommend relocation closer to lake just in bush edge as stakeholder feedback highlights issue</t>
  </si>
  <si>
    <t xml:space="preserve">The track has proven its resilience over many decades with only minor realignments and repairs where rock or vegetation debris slides have impacted its path. These will be intermittent events and cannot be mitigated as the entire valley floor is potentially subject to these events. High use track justifies improvements and would be money well spent. </t>
  </si>
  <si>
    <t>The track is currently within the 'back country' setting the FNP management plan and the standard of the track reflects this. Consideration should be given for increasing numbers of visitors at Lake Marian and the impacts of this. The EDP for this track is consistent with our assessment</t>
  </si>
  <si>
    <t>Marian Falls Loop Track</t>
  </si>
  <si>
    <t>New short walk</t>
  </si>
  <si>
    <t>Two critical bridges over Marian creek of 60m (upper) and 50m (lower). Siting bridges requires greater assessment as the forest cover and bouldery terrain are difficult to assess stability and anchoring, Difficult track building as per true left loop track but terrain is only moderately steep</t>
  </si>
  <si>
    <t>Debris flows in the creek or treefall affecting bridges</t>
  </si>
  <si>
    <t>Bridges/structures (High), Budget &amp; Maintenance (Medium)</t>
  </si>
  <si>
    <t>Yes provided the bridges can be sited clear of the main falls</t>
  </si>
  <si>
    <t>Improved flow with less congestion at the key scenic viewpoints, additional viewpoints created by new bridges and a different perspective to view the falls from the true left</t>
  </si>
  <si>
    <t>Two bridges (60m and 40m)</t>
  </si>
  <si>
    <t>Main concern will be bridge siting and ensuring this caters for debris flows in the creek and that potential for tree fall is mitigated during design and construction. Track can be built well clear of the river channel in rocky terrain</t>
  </si>
  <si>
    <t>This is a better value option over the proposed Lake Marian loop Track while reducing congestion on the scenic waterfalls sections where negative visitor feedback is primarily focused</t>
  </si>
  <si>
    <t>Covered Nature Trail</t>
  </si>
  <si>
    <t>SST accessible &amp; covered short walk</t>
  </si>
  <si>
    <t>Finding a location which allows construction of a roofed walkway and avoiding tree fall while still taking in viewpoints across the river will be a detailed design challenge</t>
  </si>
  <si>
    <t>Maybe</t>
  </si>
  <si>
    <t>The current accessible walks along the Milford Rd are Mirror Lakes, Lake Gunn, The Chasm and Milford Foreshore. Its hard to see this short accessible loop meeting the standard of experience of these existing four. But, it does have river frontage which none of the others offer so a point of difference. For this reason it could, if viewing spots out to the river can be built above the flood level, add a unique experience for less able visitors.</t>
  </si>
  <si>
    <t xml:space="preserve">True left; This requires the existing suspension bridge to be upgraded to 1.5m clear width plus new viewing platforms over the Hollyford River and the covered pathway. True Right; This option makes the loop fully covered as the trail an start from the car park without the need for the Hollyford Bridge which is not expected to be covered. </t>
  </si>
  <si>
    <t>Existing toilets at Marian Car park and new toilets anticipated as part of the EDP and Whakatipu Node. No additional toilets required</t>
  </si>
  <si>
    <t>Tree fall is especially relevant to a covered walkway. Mitigation can be undertaken by removal of potentially rotten trees within the fall zone during construction and a programme to monitor trees every few years. Viewing platforms over the river will need careful consideration of flood levels and anchoring to reduce impacts from flooding</t>
  </si>
  <si>
    <t xml:space="preserve">One of the difficulties of a covered walkway in a forest is the gloomy nature of the experience, exacerbated on a rainy or cloudy day. As noted the experience of the river will need to be front of mind in the detailed design to ensure this unique element is showcased where possible, the location of the track on the true right makes it close to the car parking and avoids the Hollyford River crossing. It would be possible to locate this short track on either side of the Hollyford River and on the true left above or below the current bridge. Detailed design should consider these options in more completely. </t>
  </si>
  <si>
    <t>Easy tramping track - 1 - 1.5hrs</t>
  </si>
  <si>
    <t>17m Divide Creek bridge and a short section of steep road batter above the Hollyford River</t>
  </si>
  <si>
    <t xml:space="preserve">The track follows the Hollyford River downstream to the Pass Creek track start. The river has a series of exciting rapids and pools which are considered much more interesting and desirable than a purely forest track as proposed by the Masterplan. </t>
  </si>
  <si>
    <t>Bridge over Divide Creek and barrier along shorts section of road</t>
  </si>
  <si>
    <t>Existing toilets at Marian car park and Lake Howden. No new toilets required</t>
  </si>
  <si>
    <t>No significant risks with the track line positioned well above the Hollyford River. Tree fall and minor land slides are always a potential</t>
  </si>
  <si>
    <t xml:space="preserve">The masterplan link is shown across the hillside above the road. While this is technically feasible it offers little interest for walking. The riverside route is much more stunning as a walk in its own right and could easily be a one way or return journey making an easy short walk. The purpose of the track is to create a continuous easy TT standard loop track of 12.4km and 650m of climbing. </t>
  </si>
  <si>
    <t>Easy tramping track - 1.5 - 2hrs</t>
  </si>
  <si>
    <t>No technical challenges. New sections of benching on moderate to steep slopes to ensure even footing for visitor group</t>
  </si>
  <si>
    <t>None identified</t>
  </si>
  <si>
    <t>The track climbs mature beech forest from 300m to 690m. Views are limited and there is nothing outstanding to the experience. But, as part of a loop with Lake Howden, Key Summit this is a critical component</t>
  </si>
  <si>
    <t>Some short boardwalk across swampy areas</t>
  </si>
  <si>
    <t>Existing toilets at Marian car park, Lake Howden and Key Summit plus The Divide. No new toilets required</t>
  </si>
  <si>
    <t>The track alignment with some small changes will mostly avoid any watercourses. The majority of the track alignment has been proven reliable over many decades. Tree fall or minor landslide will remain possible</t>
  </si>
  <si>
    <t xml:space="preserve">The purpose of the upgrade is to create a continuous easy TT standard loop track of 12.4km and 650m of climbing. </t>
  </si>
  <si>
    <t>Divide Creek link track</t>
  </si>
  <si>
    <t>Easy tramping track - 1.5 hrs one way</t>
  </si>
  <si>
    <t>Benching in steep terrain from Key Summit track</t>
  </si>
  <si>
    <t>Yes as part of loop track with Pass Creek, Key Summit</t>
  </si>
  <si>
    <t xml:space="preserve">There is a small rocky knoll on the true right of Divide Creek where a viewing tower could be built giving a panoramic view of the lower Hollyford valley. </t>
  </si>
  <si>
    <t>Viewing tower, three short bridges</t>
  </si>
  <si>
    <t>New toilets not required. Existing toilets at The Divide, Key Summit, lake Howden and Marian car park</t>
  </si>
  <si>
    <t>Track alignment mostly avoids Divide Creek but will none the less be subject to small side stream flooding, tree fall and small landslide potential</t>
  </si>
  <si>
    <t>Gertrude Valley Loop Track</t>
  </si>
  <si>
    <t>Short walk - 30-40mins</t>
  </si>
  <si>
    <t xml:space="preserve">Building a high quality track across large boulders and through stunted mountain beech will present both technical and ecological challenges. Additionally the mostly unmodified nature of the area means the siting and design will need to be very careful to be recessive and low impact. A bridge across the Hollyford is required to ensure SST visitors can negotiate this track in all weathers. The creek is subject to significant flood flows and the bed is aggrading. </t>
  </si>
  <si>
    <t>This is the only easily accessible alpine valley on the Milford Road. An easy short loop will take visitors across boulder fields, alpine meadows and give them views of the upper valley cirque wall, remnant glacier icefall on Mt Talbot above the Psychopath Wall as well as the stunted mountain beech forest. Plenty of photo opportunities &amp; chances to tell the alpine habitat stories. Also the potential to see the reclusive rock wren.</t>
  </si>
  <si>
    <t>18m Bridge over Hollyford River and boardwalks where flooding over river flats. A viewing platform at the upper end of the beech forest is necessary to gain a great view and reduce impact on vegetation</t>
  </si>
  <si>
    <t>New toilets will be necessary at this node combined with a potable water supply</t>
  </si>
  <si>
    <t>The bridge over the Hollyford is going to be the critical component in the loop track. Recent flooding in Sept 2023 indicates flood flows well over the existing river banks. At the Gertrude Valley bridge installed in 2022 by DOC flood water have gone over the bridge which is 3.4m above the bed which is 7m wide. Avalanche activity appears limited on the route as evidenced by mature forest cover</t>
  </si>
  <si>
    <t>The new node needs to ensure visitors are directed away from the Homer huts and that adequate toilets and water are supplied to address existing issues identified by stakeholders. The SST loop also needs to be managed such that visitors do not easily find their way up the Gertrude Valley which is an 'advanced' route. The original masterplan route would need to cross the Gertrude Creek much higher where bridging is very difficult and is considered to lead to greater confusion between the valley route and the SST loop leading to management issues &amp; risks</t>
  </si>
  <si>
    <t>The Chasm to Cleddau Horse Bridge Track</t>
  </si>
  <si>
    <t>Day Walk - 1 to 1.5hrs</t>
  </si>
  <si>
    <t>The Chasm Bridges were damaged in the Feb 2020 floods which are believed to be a 1:100yr event, It is conceivable these bridges will not be replaceable due to flood damage. Success of the link track is based on having bridges at each end. We have scoped concept bridge locations that could replace the existing sites, track line crosses alluvial fans as well as very steep rock faces with a think veneer of trees and scrub, rock face bridges are required and the interplay between vegetation and track may lead to vegetation instability, a review of aerial imagery on Retrolens indicates that once vegetation slide has occurred since c1938 that would impact the track line.</t>
  </si>
  <si>
    <t>Walking in the downstream &amp; generally downhill direction the track is bookended by The Chasm (stunning sculped rock gorge) and the Historic Horse Bridge which was the original pack track via the Grave Talbot Pass prior to c1938 when the Homer Tunnel opened. With some adaptive reuse of historic materials these two sites are worth a visit in themselves. The track route will include stunning sections across exposed rock faces looking down on deep blue pools in the Cleddau River plus lush temperate rain forest. Glimpses of Mt Tutoko are on hand as well.</t>
  </si>
  <si>
    <t xml:space="preserve">Chasm and Horse Bridge both require new bridges which are essential, also up to 175m of rock face bluff bridge to cross steep rock faces, at least 6 smaller bridges over side streams. The Historic Horse bridge fabric should be incorporated as decoratively into a new bridge. </t>
  </si>
  <si>
    <t>There are currently no toilets at either end. The walk is expected to take 1-1.5hrs, a toilet maybe necessary at the downstream end (Horse Bridge).</t>
  </si>
  <si>
    <t xml:space="preserve">The key components are the two suspension bridges at each end and the rock face bridge between 2.2-2.7km. Detailed design needs to ensure resilience to flooding and mitigate through design the potential for vegetation debris slides form the steep rock faces. </t>
  </si>
  <si>
    <t xml:space="preserve">The Chasm is already very popular with c50,000 per annum making the short stop. While many of these visitors will not wish to walk up to 1.5hrs, it is reasonable to expect plenty will make the gently downhill walk making this short walk very popular. There will be plenty of opportunities to gain access to some beautiful pools in the Cleddau River as part of the walk. The historic Horse Bridge while in poor condition has many elements that warrant incorporation into a new bridge including the cables, abutments of stacked stone and  droppers. With a carefully thought out design these could be included and a story of early exploration pre-1938 told about the importance of the bridge. </t>
  </si>
  <si>
    <t>Milford Sound Lodge to Tutoko River Bridge Track</t>
  </si>
  <si>
    <t>Day walk - 1hr one way</t>
  </si>
  <si>
    <t>Bridges at the Milford Sound Lodge end are necessary to ensure day visitors can easily negotiate the track in all weathers. The current vaguely marked line is in the river bed near the lodge and this is subject to regular flooding. Forming the track under the road and across Creek 160 is a bit difficult but appears feasible with a short bridge, some rock blasting and retaining in the loose alluvial gravels</t>
  </si>
  <si>
    <t xml:space="preserve">An easily achievable 2 hr walk in lovely beech forest, lots of views of the lower Cleddau and Tutoko Rivers with swimming numerous options and some large pools, views of massive rock faces on Sheerdown Peak  </t>
  </si>
  <si>
    <t>Two small bridges are required to ensure day walk standards can be met</t>
  </si>
  <si>
    <t xml:space="preserve">Closest toilets are located in Milford Piopiotahi. The Tutoko River Suspension Bridge built in 1940 is a very popular short stop and demand has as yet not necessitated a toilet. No toilets are recommended as part of this track proposal. </t>
  </si>
  <si>
    <t xml:space="preserve">Provided the final track alignment take into consideration future flooding of the Cleddau and Tutoko River this track appears to be located on stable river flats with mature forest. Maintenance costs are existed to be low and consist of removal of windfall and vegetation control. </t>
  </si>
  <si>
    <t>The walk has been promoted by Milford Sound Lodge and it would provide a brilliant short afternoon walk before dinner at the lodge. But it will also appeal to people who have been dropped off at the Tutoko Suspension Bridge as they will be able to walk to Piopiotahi in 1.5hrs. The hop on and hop off transport proposed in the Masterplan will really drive popularity of this short walk</t>
  </si>
  <si>
    <t>Barren Peak Spur Walk</t>
  </si>
  <si>
    <t>Short walk - 15mins</t>
  </si>
  <si>
    <t xml:space="preserve">Stairs/steps and a viewing platform at 80masl together with widened viewing platform and track at 30masl. </t>
  </si>
  <si>
    <t>Yes, expect the experience to improve with better track &amp; higher level view</t>
  </si>
  <si>
    <t xml:space="preserve">The current low level of the viewing deck adversely impacts the view which includes the back of the tourist complex which detracts form the natural beauty. A higher level viewing platform can be positioned to screen the buildings form view and get a more stunning view for only a few minutes extra effort. </t>
  </si>
  <si>
    <t>New steps/stairs to upper viewing platform, widened existing steps and stairs</t>
  </si>
  <si>
    <t>Not required. Existing toilets in main tourist complex between buildings and foreshore car park</t>
  </si>
  <si>
    <t>The track and structures are located on a spur so are naturally resilient to flooding. Main concerns are tree fall onto structures. Spur is unlikely to be subject to rock falls</t>
  </si>
  <si>
    <t>A relatively technically simple project with great views up the fiord.  Any viewing platform should be carefully clad from recessive natural looking materials such that the structure itself is not obvious in the landscape. Views from the fiord are equally important as views internally and people on the water will easily see a metallic reflection high on the hill</t>
  </si>
  <si>
    <t xml:space="preserve">Hine-te-awa Bowen Falls short walks - Upper walks </t>
  </si>
  <si>
    <t xml:space="preserve">Short walk </t>
  </si>
  <si>
    <t>Construction of approach track and viewing platform on the side of a cliff face together with the need to ensure vegetation debris slides do not occur will be the main technical challenge. The rock is believed to offer good anchors for structures</t>
  </si>
  <si>
    <t>Maybe. The planned cable car appears to have a top station at 240masl. The top of the Bowen Falls is 160m and the best viewing spot is around 140masl. That is a vertical drop of between 80-100m which is a considerable climb/descent for the SST visitor. It is conceivable that this vertical drop is far in excess of what the visitor wants to 'endure' for a view</t>
  </si>
  <si>
    <t>Besides the ride up the cable car which is likely to be impressive, the track through the mature forest down to the viewing platform will be similar to other tracks discussed. The real wow happened when you step out onto the cliff edge and see the waterfall blasting out of the rock face as it is diverted by a bulge in the rock. power, drama and speed. plus a stunning view across to Mitre Peak and the fiord.</t>
  </si>
  <si>
    <t>Steps and stairs plus a viewing platform on the cliff edge are required to achieve the visitor experience</t>
  </si>
  <si>
    <t>Existing toilets in tourist complex. No new toilets required</t>
  </si>
  <si>
    <t xml:space="preserve">The track and structures are located on a gentle spur or ridge free from the majority of stormwater flows, tree fall remains possible. The structure and bluff bridge access are within very steep rock face covered in vegetation. Careful constriction and removal of larger trees that could cause debris slide should be completed during detailed design &amp; construction </t>
  </si>
  <si>
    <t xml:space="preserve">Any viewing platform should be  clad from recessive natural looking materials (e.g. burnt or stained timber), such that the structure itself is not obvious in the landscape. Views from the fiord are equally important as views internally and people on the water will easily see a metallic reflection high on the hill. 3D modelling would assist with understanding the impact on visibility during detailed design. Two viewing deck locations have been assessed. The upper point is located with the water dropping off the top of the falls &amp; includes a short 15m bridge to a knoll directly above the falls but missing the real action. The lower point is directly opposite where the water bursts out of the rock face and was considered superior in terms of experience. </t>
  </si>
  <si>
    <t>Hine-te-awa Bowen Falls  - Upper walks - Bowen River</t>
  </si>
  <si>
    <t>None. The track alignment has been moved away from the existing hydro pipeline as the pipeline at the Bowen creek is difficult to integrate and is lik.ly to generate conflict with operation of the hydro scheme. Instead a lower entry to the valley is recommended</t>
  </si>
  <si>
    <t xml:space="preserve">The track will give access to the Bowen Creek which is a stunning boulder strewn creek with excellent scenic values. Great photo opportunities and given the terrain from the cable car to the creek it would easily be of a higher standard. </t>
  </si>
  <si>
    <t>Potential for treefall</t>
  </si>
  <si>
    <t>This track uses part of the SST walk with a short extension to the creek. Management issues may arise if SST visitors use the track and gain access to the creek with its associated unmanaged hazards (flowing water, large boulders etc)</t>
  </si>
  <si>
    <t>Hine-te-awa Bowen Falls short walks - Lower walk</t>
  </si>
  <si>
    <t>Short walk</t>
  </si>
  <si>
    <t xml:space="preserve"> The old gantry structure will need a replacement clear of rock fall hazard to make this opportunity viable. A continuation of the existing floating wharf appears technically feasible. The existing track (170m) requires upgrading to mitigate alluvial fan flooding. This could consist of boardwalks. As an alternative to the cable car to the top of the falls a gantry with stairs could be built rising 60m to a mid falls viewing platform. </t>
  </si>
  <si>
    <t xml:space="preserve">The track to the lower falls is a winner. Reinstatement of the access form the resort complex is a must. This flat short walk gives all visitors the experience of the power of the falls. In normal flows the spray and air pressure showcase natures power. Given the flat terrain, this should be built as an accessible walk. The option of a climb to the mid-waterfall would provide a stunning experience of the  falls plus a great view out across to Mitre Peak and out the fiord with mush less visual impact of a cable car or funicular. </t>
  </si>
  <si>
    <t>Critical new access structure across Freshwater Basin (refer Engineering workstreams &amp; prior geotechnical assessments). New boardwalk in flood zone. Option of a gantry and stairs up the rock face to mid-level viewing platform</t>
  </si>
  <si>
    <t>Mitigating the rock fall hazard on the access across Freshwater Basin remains the major constraint on sustainability and resilience. Additionally the short track across the Bowen Creek outwash plain requires modification to mitigate flood damage and ensure longer term operation</t>
  </si>
  <si>
    <t>We have considered a viewing platform at the base of the falls. However one of the beauties of the falls is the absence of visible structures. If a viewing platform were necessary to address environmental concerns this should be very low without barriers or signs to minimise visual impact</t>
  </si>
  <si>
    <t>Cleddau Delta walks</t>
  </si>
  <si>
    <t>Boardwalks/bridges over low lying areas required across the planned tracks. Majority of the area is &lt;2masl so subject to sea level rise and flooding, anchoring required to prevent floating</t>
  </si>
  <si>
    <t>The current foreshore walk is a good introduction to what the Cleddau Delta has to offer. However, unlike the former, the delta offers greater remoteness, tranquillity and a sense of what it was like before human development. There are view points where no built form is visible, stunning front on views of Bowen Falls and Piopiotahi and a mix of tracks to vary the length to suit the visitors available time and energy before they tuck into their lunch or dinner overlooking Piopiotahi</t>
  </si>
  <si>
    <t xml:space="preserve">Numerous short boardwalks or bridges over low lying terrain. </t>
  </si>
  <si>
    <t>Sea level rise and tree fall are the main threats. This is balanced by relatively easy and short access to the site for maintenance</t>
  </si>
  <si>
    <t xml:space="preserve">Mix of routes that combined could yield over 3km. </t>
  </si>
  <si>
    <t>RISK</t>
  </si>
  <si>
    <t>#</t>
  </si>
  <si>
    <t>Proposal Name/Type</t>
  </si>
  <si>
    <t>Bridges</t>
  </si>
  <si>
    <t>Landslides</t>
  </si>
  <si>
    <t>Weather</t>
  </si>
  <si>
    <t>People</t>
  </si>
  <si>
    <t>Flood</t>
  </si>
  <si>
    <t>Avalanche</t>
  </si>
  <si>
    <t>Budget $</t>
  </si>
  <si>
    <t>Maintenance</t>
  </si>
  <si>
    <t>Summary</t>
  </si>
  <si>
    <t>Commentary</t>
  </si>
  <si>
    <t>Te Anau Downs to Black Creek Cycle Trail</t>
  </si>
  <si>
    <t>X</t>
  </si>
  <si>
    <t>Bridges (High), Structures, Flooding &amp; Maintenance (Medium)</t>
  </si>
  <si>
    <t>Large bridges over Eglinton River are integral to success, obvious flood hazard in Eglinton Valley and associated higher maintenance requirements and operational costs, landslides near steep valley walls, methods to generate maintenance revenue</t>
  </si>
  <si>
    <t xml:space="preserve">Te Anau Downs to Black Creek cycle trail via SH94 </t>
  </si>
  <si>
    <t>Structures, Flooding &amp; Maintenance (Medium)</t>
  </si>
  <si>
    <t xml:space="preserve">Flood &amp; structures risk along SH94 margin in Eglinton valley (Walker Cr to Totara Flat) ,  landowner support is critical to building along road margins as requires use of adjoining private land, requires high levels of maintenance to retain Level of service adjoining roads as often road maintenance activities adversely impact trail drainage and surface quality. </t>
  </si>
  <si>
    <t>Black Creek to Cascade Creek Cycle Trail</t>
  </si>
  <si>
    <t>Bridges, Structures, Flooding &amp; Maintenance (Medium)</t>
  </si>
  <si>
    <t>Bridges and other structures are integral to success and may be subject to flood hazard in Eglinton valley and high maintenance requirements and operational costs</t>
  </si>
  <si>
    <t>Cascade Creek to The Divide Cycle Trail</t>
  </si>
  <si>
    <t> X</t>
  </si>
  <si>
    <t>Bridges, Landslides, Weather, Flooding &amp; Maintenance (Medium), Structures (High)</t>
  </si>
  <si>
    <t>Large cliff face on the western side of Lake Gunn will be technically demanding to build on although solutions have been proven on lake Dunstan Trail. Faces have obvious vegetation landslide/debris flow paths which could destroy track structure making it impassable for long periods of time. Weather deteriorates significantly towards Divide with increasing wind and significant increase in rainfall which impacts user experience, maintenance costs could be high from windfall onto structures</t>
  </si>
  <si>
    <t>Countess Range Track &amp; Hut - Easy TT – Option 1</t>
  </si>
  <si>
    <t>Structures &amp; Budget (High), Weather, People and Maintenance (Medium)</t>
  </si>
  <si>
    <t xml:space="preserve">Very high wind zone, snow loading &amp; weather tightness are all construction challenges, visitor group more likely to suffer from exposure in poor weather, wayfinding in poor visibility between bush line &amp; hut , rock fall from scarp onto hut site appears low, high-cost hut &amp;/or track &amp; operational costs </t>
  </si>
  <si>
    <t>Countess Range Track &amp; Hut - Adv. TT – Option 2</t>
  </si>
  <si>
    <t>Structures (High), Track Maintenance (Medium), Budget (Medium)</t>
  </si>
  <si>
    <t>Very high wind zone, snow loading &amp; weather tightness are all construction challenges, rock fall from scarp onto hut site appears low, potential for high wear of insitu material if the track is not benched and sustains high use</t>
  </si>
  <si>
    <t>Eglington Reveal</t>
  </si>
  <si>
    <t xml:space="preserve">Requires high level of service to be maintained </t>
  </si>
  <si>
    <t>Knobs Flat Short walks</t>
  </si>
  <si>
    <t xml:space="preserve"> Flooding &amp; Maintenance (Medium)</t>
  </si>
  <si>
    <t xml:space="preserve">Active shingle fan hazard &amp; associated flood risk to track and bridges, hard-to-place bridges which will be truly resilient due to gravel fan, consider lighter easily relocatable bridges e.g. Lake Howden outlet type. </t>
  </si>
  <si>
    <t>Key Summit Ridge Track - Easy TT – OPTION 1</t>
  </si>
  <si>
    <t>Weather &amp; people (High), Bridges &amp; Avalanche (Medium)</t>
  </si>
  <si>
    <t>Exposed tops travel subject to high winds, poor visibility/bad weather and avalanche potential,  people getting lost on tops or hypothermia from exposure in poor weather, day length to long for visitor group resulting in getting 'caught out', bridges over Cascade Creek critical to achieve track standard</t>
  </si>
  <si>
    <t>Key Summit to Cascade Creek Track - Adv. TT – OPTION 2</t>
  </si>
  <si>
    <t>Weather, People &amp; Avalanches (Medium)</t>
  </si>
  <si>
    <t xml:space="preserve">Exposed tops travel subject to high winds, poor visibility/bad weather and avalanche potential,  people getting lost on tops or hypothermia from exposure in poor weather, day length quite long for visitor group could mean camping on tops becomes popular, route adversely impacted by high water in Cascade Creek as river crossing mandatory. </t>
  </si>
  <si>
    <t>Lake Marian Track Upgrade</t>
  </si>
  <si>
    <t>Lake Marian Loop Track - Easy TT</t>
  </si>
  <si>
    <t>Landslides, Flooding &amp; Maintenance (Medium), Bridges &amp; Budget (High)</t>
  </si>
  <si>
    <t>Bridge over lower Marian Creek critical to success, flood hazard from Marian Creek and side streams appears high based on True right, rock fall in steep sided U-shaped valley, avalanche risk from snowfields above, high build cost due to large bouldery terrain and need to form uniform surface in dense forest</t>
  </si>
  <si>
    <t>X </t>
  </si>
  <si>
    <t xml:space="preserve"> Structures, Budget &amp; Maintenance (High)</t>
  </si>
  <si>
    <t>If crossing Hollyford River then suspension bridge upgrade required, high initial cost for covered trail, high maintenance requirements to maintain level of service especially if tree falls onto structures</t>
  </si>
  <si>
    <t>Pass Creek Link Track - Easy TT</t>
  </si>
  <si>
    <t>Maintenance (Medium)</t>
  </si>
  <si>
    <t>Track route across moderately steep terrain subject to windfall and landslides, higher ongoing maintenance requirements to meet track standards</t>
  </si>
  <si>
    <t>Gertrude Valley  Loop</t>
  </si>
  <si>
    <t>Bridges, Flooding &amp; Maintenance (High), Weather, Avalanche (Medium)</t>
  </si>
  <si>
    <t xml:space="preserve">High cost for bridges, technical challenges to find site/design that is not easily compromised by flooding and creek aggrading, high maintenance requirements to maintain level of service for short walk in sub-alpine environment, potential for adverse weather, snow and flooding to impact the route and safety challenges with visitor group, </t>
  </si>
  <si>
    <t>Chasm to Cleddau Horse Bridge Track</t>
  </si>
  <si>
    <t>Bridges, Landslides &amp; Maintenance (high), Flooding, Budget &amp; Avalanches (Medium)</t>
  </si>
  <si>
    <t>Heavy rain and flood related hazards could impact this route, steep rock faces more prone to debris flows that could destroy track structure and result in long repair times, critical to have bridges at both ends</t>
  </si>
  <si>
    <t xml:space="preserve">Milford Sound Lodge to Tutoko River Bridge Track </t>
  </si>
  <si>
    <t>Flooding (Medium)</t>
  </si>
  <si>
    <t>Low risk of plunging avalanche path crosses the route (&gt;15yr return interval from MRA), Cleddau River flooding is evident and ongoing especially near Milford Sound Lodge</t>
  </si>
  <si>
    <t>Barren Peak Spur Track - SST</t>
  </si>
  <si>
    <t>Structures (Medium)</t>
  </si>
  <si>
    <t>Geotechnical considerations essential together with high cost to build, no obvious technical limitations</t>
  </si>
  <si>
    <t>Cleddau Delta Walks</t>
  </si>
  <si>
    <t xml:space="preserve"> Flooding (High)</t>
  </si>
  <si>
    <t>Tsunami risk in this low-lying delta , sea level rise also an impact with land all &lt;2m above MSL</t>
  </si>
  <si>
    <t>Bowen Falls Upper - Short walk</t>
  </si>
  <si>
    <t>Structures, People and budgets (High), Landslides &amp; Maintenance (Medium)</t>
  </si>
  <si>
    <t>Is the access suited to short walk users with 70-90m of vertical drop from cable car top station, potential impact of debris landslides could be catastrophic on structures resulting in long periods of closure, views not as dynamic as below the falls as you miss the pressure waves and mist</t>
  </si>
  <si>
    <t>Bowen Falls Upper - BCC</t>
  </si>
  <si>
    <t>Structures, People (Medium)</t>
  </si>
  <si>
    <t>Access management to Bowen River with viewing platform to manage safety</t>
  </si>
  <si>
    <t>Bowen Falls Lower - Short walk</t>
  </si>
  <si>
    <t>Structures, Landslides and budgets (High), Flooding &amp; Maintenance (Medium)</t>
  </si>
  <si>
    <t>Rock fall hazard on approach structures, flooding across lower delta, structure located clear of flood/rockfall being tested by others, high upfront costs, maintenance to meet short walk will be critical</t>
  </si>
  <si>
    <t>A40032 - MOP</t>
  </si>
  <si>
    <t>Development Cost Estimates</t>
  </si>
  <si>
    <t>Date: 28 Nov 2023, updated 4 Feb 2024</t>
  </si>
  <si>
    <t>GRADE 2 CYCLE TRAILS</t>
  </si>
  <si>
    <t>Project Name</t>
  </si>
  <si>
    <t>Lake Gunn Nature Walk</t>
  </si>
  <si>
    <t>Marian Falls Track</t>
  </si>
  <si>
    <t>Te Anau Downs to Cascade Creek</t>
  </si>
  <si>
    <t>Cascade Creek to The Divide</t>
  </si>
  <si>
    <t>Key Summit to Cascade Creek Track</t>
  </si>
  <si>
    <t>The Chasm to Cleddau horse Bridge Track</t>
  </si>
  <si>
    <t xml:space="preserve">Hine-e Awa Bowen Falls – Upper Walks </t>
  </si>
  <si>
    <t>Hine-e Awa Bowen Falls – Lower Walk</t>
  </si>
  <si>
    <t>Level of Service</t>
  </si>
  <si>
    <t>Cycle Trail or Short Walk</t>
  </si>
  <si>
    <t>Short Walk</t>
  </si>
  <si>
    <t>Easy Tramping &amp; 40 bed hut</t>
  </si>
  <si>
    <t>Advanced tramping &amp; 20 bed hut</t>
  </si>
  <si>
    <t>Easy Tramping Track</t>
  </si>
  <si>
    <t>Cycle Trail</t>
  </si>
  <si>
    <t>SH94 Cycle Trail</t>
  </si>
  <si>
    <t>Advanced Tramping Track</t>
  </si>
  <si>
    <t>Day Walk</t>
  </si>
  <si>
    <t>Short walk &amp; Easy Tramping Track</t>
  </si>
  <si>
    <t>Track Construction (m)</t>
  </si>
  <si>
    <t>Track Work</t>
  </si>
  <si>
    <t>Huts</t>
  </si>
  <si>
    <t>Sub Total</t>
  </si>
  <si>
    <t>Contingency @ 20%</t>
  </si>
  <si>
    <t>Total Construction</t>
  </si>
  <si>
    <t>Planning, Design &amp; Construction Management</t>
  </si>
  <si>
    <t>Trail Design @ 5%</t>
  </si>
  <si>
    <t>Structure design @ 5%</t>
  </si>
  <si>
    <t>Construction Management @ 10%</t>
  </si>
  <si>
    <t>Total Planning, Design &amp; Management</t>
  </si>
  <si>
    <t>Total Nov 2023</t>
  </si>
  <si>
    <t>Cost escalation factor - 15%</t>
  </si>
  <si>
    <t>Total Nov  2024</t>
  </si>
  <si>
    <t>Average $/m</t>
  </si>
  <si>
    <t>Operating Costs</t>
  </si>
  <si>
    <t>Sub total</t>
  </si>
  <si>
    <t>Contingency</t>
  </si>
  <si>
    <t>Total Nov 23</t>
  </si>
  <si>
    <t>Total All Projects</t>
  </si>
  <si>
    <t>Total length (m)</t>
  </si>
  <si>
    <t>Total O&amp;M</t>
  </si>
  <si>
    <t>WSP Stage 1 review of Cost Estimates, 28/11/2023</t>
  </si>
  <si>
    <t>Most likely Present Day Cost</t>
  </si>
  <si>
    <t>N/A</t>
  </si>
  <si>
    <t>MOP Project ID</t>
  </si>
  <si>
    <t>CKF6</t>
  </si>
  <si>
    <t>CCE11</t>
  </si>
  <si>
    <t>CTH7</t>
  </si>
  <si>
    <t>CTH6</t>
  </si>
  <si>
    <t>CTH8</t>
  </si>
  <si>
    <t>CCE7</t>
  </si>
  <si>
    <t>CTH10</t>
  </si>
  <si>
    <t>CTH12</t>
  </si>
  <si>
    <t>PDel7</t>
  </si>
  <si>
    <t>PHub16</t>
  </si>
  <si>
    <t>PFW3</t>
  </si>
  <si>
    <t>PDel6</t>
  </si>
  <si>
    <t>Hut only 16,209/m²</t>
  </si>
  <si>
    <t>A40032 MOP</t>
  </si>
  <si>
    <t>Construction Rates as at Nov 2023</t>
  </si>
  <si>
    <t>Track Formation</t>
  </si>
  <si>
    <t>UNIT</t>
  </si>
  <si>
    <t>Easy</t>
  </si>
  <si>
    <t>75m per day, open grass flats</t>
  </si>
  <si>
    <t>Medium</t>
  </si>
  <si>
    <t>35m per day, easy beech forest</t>
  </si>
  <si>
    <t>Hard</t>
  </si>
  <si>
    <t xml:space="preserve">10m per day, sloping beech forest </t>
  </si>
  <si>
    <t>Very hard</t>
  </si>
  <si>
    <t>5m per day, steep sloping beech forest</t>
  </si>
  <si>
    <t>4wd upgrade</t>
  </si>
  <si>
    <t>per metre to grade existing formation &amp; reform water channels</t>
  </si>
  <si>
    <t>Rock Fill</t>
  </si>
  <si>
    <t>Rock fill</t>
  </si>
  <si>
    <t>m³</t>
  </si>
  <si>
    <t>per m³ to supply from off site AP65-100 type, deliver &amp; place</t>
  </si>
  <si>
    <t>Rock Fill Borrow pit</t>
  </si>
  <si>
    <t>per m³ to dig pit, excavate and cart &lt;500m &amp; rehab pit</t>
  </si>
  <si>
    <t>Rock fill heli 1min laps</t>
  </si>
  <si>
    <t>per m³ to transport from stockpile only, 2 loads/m³, 1min max return time, AS350 assumed @ $ 3,600/hr</t>
  </si>
  <si>
    <t>Rock fill heli 2min laps</t>
  </si>
  <si>
    <t>per m³ to transport from stockpile only, 2 loads/m³, 2min max return time, AS350 assumed @ $ 3,600/hr</t>
  </si>
  <si>
    <t>Rock fill heli 4min laps</t>
  </si>
  <si>
    <t>per m³ to transport from stockpile only, 2 loads/m³, 4min max return time, AS350 assumed @ $ 3,600/hr</t>
  </si>
  <si>
    <t>Top Course</t>
  </si>
  <si>
    <t>AP20</t>
  </si>
  <si>
    <t>m</t>
  </si>
  <si>
    <t xml:space="preserve">100mm depth 2m wide say - Recent Chams rate is $ 60/m </t>
  </si>
  <si>
    <t>AP20 heli 1m laps, 1m track</t>
  </si>
  <si>
    <t>1m³ = 10m at 100mm thick, includes supply to stockpile, 1min lap about 500m max</t>
  </si>
  <si>
    <t>AP20 heli 2min laps, 1m track</t>
  </si>
  <si>
    <t>2min lap about 1km</t>
  </si>
  <si>
    <t>AP20 heli 1m laps, 1.5m track</t>
  </si>
  <si>
    <t>1m³ = 7m @ 100mm thick</t>
  </si>
  <si>
    <t>AP20 heli 2min laps, 1.5m track</t>
  </si>
  <si>
    <t>AP20 heli 1m laps, 2m track</t>
  </si>
  <si>
    <t>1m³ = 5m @ 100mm thick</t>
  </si>
  <si>
    <t>AP20 heli 2min laps, 2m track</t>
  </si>
  <si>
    <t>AP20 Heli 4 min</t>
  </si>
  <si>
    <t>Moxy Cartage &lt;1km</t>
  </si>
  <si>
    <t>For 15m³ loads, Moxy $300/hr + loading 20mins per hr @ $220/hr</t>
  </si>
  <si>
    <t>Moxy Cartage &lt;2km</t>
  </si>
  <si>
    <t>Moxy Cartage &gt;2km</t>
  </si>
  <si>
    <t>Bridge</t>
  </si>
  <si>
    <t>per m installed (all types) - Latest 2023 data Hokitika Gorge 95m, $ 6,700/m, Kawarau Gorge 90m $ 5,000</t>
  </si>
  <si>
    <t>Boardwalk</t>
  </si>
  <si>
    <t>per m installed, fall height &lt;1.5m, assume 1.5-2m clear, timber</t>
  </si>
  <si>
    <t>Barrier</t>
  </si>
  <si>
    <t>per m installed, 1.1 to 1.2m high, non crowd activity type, timber post &amp; rails</t>
  </si>
  <si>
    <t>Hut - Alpine</t>
  </si>
  <si>
    <t>m²</t>
  </si>
  <si>
    <t>per m² As per Moonlight Tops &amp; inflation adjustments</t>
  </si>
  <si>
    <t>Viewing Platforms</t>
  </si>
  <si>
    <t>per m² installed, simple sites, timber crowd barrier</t>
  </si>
  <si>
    <t>Covered trail structure</t>
  </si>
  <si>
    <t>per m installed at 2m wide, 150SED at 3m ctrs, 300x50 bearers and 200x50 joists at 500ctrs, colour steel roof</t>
  </si>
  <si>
    <t>Toilet</t>
  </si>
  <si>
    <t>ea</t>
  </si>
  <si>
    <t>Blenheim Fibreglass 'Norski" vault type enclosed, heli location, SSI-O-347 rates</t>
  </si>
  <si>
    <t>Shelter - 6m x 7m</t>
  </si>
  <si>
    <t>3 sided with bench seating, colour steel, timber &amp; posts as per Howden example - SSI-O-347 rates</t>
  </si>
  <si>
    <t>Timber retaining - 1m</t>
  </si>
  <si>
    <t>150 SED at 1m ctrs, 200x50 H4 boards, light duty</t>
  </si>
  <si>
    <t>Timber retaining - 1.5m</t>
  </si>
  <si>
    <t>200 SED at 1m ctrs, 200x50 H4 boards, light duty</t>
  </si>
  <si>
    <t>Stairs</t>
  </si>
  <si>
    <t>1.2m wide, timber, boxed with single side barrier</t>
  </si>
  <si>
    <t>3-wire bridge</t>
  </si>
  <si>
    <t>20-30m 3 wire type, rock anchors, fly in</t>
  </si>
  <si>
    <t>Drainage</t>
  </si>
  <si>
    <t>Culverts</t>
  </si>
  <si>
    <t>500mm</t>
  </si>
  <si>
    <t>3m length assumed, black PP</t>
  </si>
  <si>
    <t>750mm</t>
  </si>
  <si>
    <t>1m</t>
  </si>
  <si>
    <t>1.5m</t>
  </si>
  <si>
    <t>Separation Kerb @ Mirror Lakes</t>
  </si>
  <si>
    <t>per m</t>
  </si>
  <si>
    <t>Signage</t>
  </si>
  <si>
    <t>Large directional</t>
  </si>
  <si>
    <t>Minor directional</t>
  </si>
  <si>
    <t>Warning</t>
  </si>
  <si>
    <t>Engineering Design</t>
  </si>
  <si>
    <t>Structure designs</t>
  </si>
  <si>
    <t>Assume 10% of construction budget for all design work</t>
  </si>
  <si>
    <t>Boardwalk design</t>
  </si>
  <si>
    <t>Single design of typical cross section</t>
  </si>
  <si>
    <t>Trail design</t>
  </si>
  <si>
    <t>Geotechnical Engineering</t>
  </si>
  <si>
    <t>Bridge foundations</t>
  </si>
  <si>
    <t>Assess for each project based on time inputs</t>
  </si>
  <si>
    <t>Rock fall hazards</t>
  </si>
  <si>
    <t>Technical Experts</t>
  </si>
  <si>
    <t>Archaeologist</t>
  </si>
  <si>
    <t>Not relevant to these projects</t>
  </si>
  <si>
    <t>Ecologist</t>
  </si>
  <si>
    <t>Unclear if we need to cover this in our budgets</t>
  </si>
  <si>
    <t>Lizard expert</t>
  </si>
  <si>
    <t>As above</t>
  </si>
  <si>
    <t>Landscape</t>
  </si>
  <si>
    <t>Land Access</t>
  </si>
  <si>
    <t>Legal agreements</t>
  </si>
  <si>
    <t>Not budgeted as part of trail work</t>
  </si>
  <si>
    <t>Liaison with landowners</t>
  </si>
  <si>
    <t>Consents</t>
  </si>
  <si>
    <t>Southland DC</t>
  </si>
  <si>
    <t>AEE prep per hr</t>
  </si>
  <si>
    <t>Hearing</t>
  </si>
  <si>
    <t>Assess on case by case basis</t>
  </si>
  <si>
    <t>Environment Southland</t>
  </si>
  <si>
    <t>Daily inspection</t>
  </si>
  <si>
    <t>Identify level of inspection based on track type or is it as required</t>
  </si>
  <si>
    <t>Eng Inspection</t>
  </si>
  <si>
    <t>per day</t>
  </si>
  <si>
    <t>Surface repair</t>
  </si>
  <si>
    <t>Allow 5% per annum on gravelled tracks</t>
  </si>
  <si>
    <t>Hut inspections</t>
  </si>
  <si>
    <t>per day using heli access</t>
  </si>
  <si>
    <t>Inflation factors</t>
  </si>
  <si>
    <t>18-19</t>
  </si>
  <si>
    <t>Based on Infometrics report using Stats NZ data</t>
  </si>
  <si>
    <t>19-20</t>
  </si>
  <si>
    <t>20-21</t>
  </si>
  <si>
    <t>21-22</t>
  </si>
  <si>
    <t xml:space="preserve">22-23 </t>
  </si>
  <si>
    <t xml:space="preserve">23-24 </t>
  </si>
  <si>
    <t>Estimate</t>
  </si>
  <si>
    <t>Posts</t>
  </si>
  <si>
    <t>ea. 150 SED H5</t>
  </si>
  <si>
    <t>bearers</t>
  </si>
  <si>
    <t>per m, 300x50 H3.2 dressed</t>
  </si>
  <si>
    <t>joists</t>
  </si>
  <si>
    <t>per m, 200x50 @ 500 CTRS H3.2 dressed</t>
  </si>
  <si>
    <t>colour steel</t>
  </si>
  <si>
    <t>per m at 2.5m long</t>
  </si>
  <si>
    <t>Concrete</t>
  </si>
  <si>
    <t>per hole</t>
  </si>
  <si>
    <t>Fixings</t>
  </si>
  <si>
    <t>Misc galv fixings</t>
  </si>
  <si>
    <t>Materials per m</t>
  </si>
  <si>
    <t>Labour @ 8hrs per m</t>
  </si>
  <si>
    <t>per m installed</t>
  </si>
  <si>
    <t>P&amp;G</t>
  </si>
  <si>
    <t>Travel, accommodation etc</t>
  </si>
  <si>
    <t>TOTAL</t>
  </si>
  <si>
    <t>Assumptions</t>
  </si>
  <si>
    <t>Cycle Trails</t>
  </si>
  <si>
    <t>Open river flats; Assume mostly rocky and no imported or borrwed fill</t>
  </si>
  <si>
    <t>Beech Forest; On flat assume 150mm of river run fill either imported wher4e road access available or borrow pit onsite. Fill used to go over roots without digging them up &amp; killing trees</t>
  </si>
  <si>
    <t>Beech Forest; On sloping ground assume benching creates sufficient rocky fill as cannot fill over. Some mature trees removed to achieve grades especially on cycle trail</t>
  </si>
  <si>
    <t>AP20 top course; Imported from road, cart across Eglinton River with moxy where possible up to 2km then cart along trail max 1km</t>
  </si>
  <si>
    <t>Where no road access or river access for Moxy as above, heli gravel max typically 1km distance</t>
  </si>
  <si>
    <t>Walking tracks</t>
  </si>
  <si>
    <t>Assume benching ceates sufficient rocky fill to create uniform level surface</t>
  </si>
  <si>
    <t>All AP20 beyond first 300m accessible by road is flown in</t>
  </si>
  <si>
    <t>All structures flown in</t>
  </si>
  <si>
    <t>Materials Sources</t>
  </si>
  <si>
    <t>River run sourced from either Knobs Flat or Cascade Creek. Other sites possible in Hollyford and Monkey Creek</t>
  </si>
  <si>
    <t>Materials generalyl sourced wihtin FNP boundary</t>
  </si>
  <si>
    <t>Downer MRA material rates 7/12/2023</t>
  </si>
  <si>
    <t>AP65</t>
  </si>
  <si>
    <t>Riverrun</t>
  </si>
  <si>
    <t xml:space="preserve">Rock </t>
  </si>
  <si>
    <t>Gabion rock</t>
  </si>
  <si>
    <t>Cartage</t>
  </si>
  <si>
    <t>m³/km</t>
  </si>
  <si>
    <t>Materials ex Cascade Creek or Knobs Flat</t>
  </si>
  <si>
    <t>Construction Budgets</t>
  </si>
  <si>
    <t>Data from chainages, GM and CAD + Avenza field notes</t>
  </si>
  <si>
    <t>Prepared by: Tim D, Reviewed by: Hamish S</t>
  </si>
  <si>
    <t>Start</t>
  </si>
  <si>
    <t>End</t>
  </si>
  <si>
    <t>Distance</t>
  </si>
  <si>
    <t>Rating</t>
  </si>
  <si>
    <t>Rock heli</t>
  </si>
  <si>
    <t>AP</t>
  </si>
  <si>
    <t>AP heli</t>
  </si>
  <si>
    <t>B/W</t>
  </si>
  <si>
    <t>Other</t>
  </si>
  <si>
    <t>Culvert</t>
  </si>
  <si>
    <t>Comments</t>
  </si>
  <si>
    <t>V Hard</t>
  </si>
  <si>
    <t>4wd</t>
  </si>
  <si>
    <t>Short loop track from highway, alluvial fan so plenty of rocky subgrade, finish with AP20</t>
  </si>
  <si>
    <t>Viewing deck possible at river overlook - 6x3m simple without overhang/cantilever</t>
  </si>
  <si>
    <t>TOTALS</t>
  </si>
  <si>
    <t xml:space="preserve">note: Track can be easily lengthened as will only take 5-10mins </t>
  </si>
  <si>
    <t>COST</t>
  </si>
  <si>
    <t>Total Track</t>
  </si>
  <si>
    <t>Kiosk Creek Bridges 12 &amp; 18m</t>
  </si>
  <si>
    <t>Easy TT track to Waterfall; 1, Stairs down to viewing platform 20m &amp; 2, Viewing platform 4x2</t>
  </si>
  <si>
    <t>Benching on moderate side slopes across full length</t>
  </si>
  <si>
    <t>Balance of easier terrain, clear and mark line and ensure generally uniform walking surface, limited digging, expect 500m longer in total</t>
  </si>
  <si>
    <t>Shelter &amp; toilet on bush edge</t>
  </si>
  <si>
    <t xml:space="preserve">Hut - 40 beds, </t>
  </si>
  <si>
    <t>Clear vegetation and mark with triangles in forest, poles at 50m ctrs in open, 1-200m per day 2px team</t>
  </si>
  <si>
    <t>Wetland to saddle</t>
  </si>
  <si>
    <t>Wetland north of hut</t>
  </si>
  <si>
    <t>hut - 20 beds</t>
  </si>
  <si>
    <t>BW and jetty for accessible</t>
  </si>
  <si>
    <t>Replace 10x short bridges only 750mm wide, widen 2 corner structures 1m wide to 1.5m and widen upper gantry</t>
  </si>
  <si>
    <t>Note: Hollyford River suspension Bridge is scheduled for replacement in next 3yrs</t>
  </si>
  <si>
    <t>Use insitu materials to create generally level/firm surface, dig WC to gain fill</t>
  </si>
  <si>
    <t>Realignments to existing track</t>
  </si>
  <si>
    <t>Small watercourse crossing - usually running</t>
  </si>
  <si>
    <t>Toilet - relocate closer to bush edge</t>
  </si>
  <si>
    <t>Use insitu rock and boulders to create fill and level surface, mostly no water channels or culverts</t>
  </si>
  <si>
    <t>Lower Marian Creek suspension Bridge</t>
  </si>
  <si>
    <t>Track ends at 400m on waterfalls track</t>
  </si>
  <si>
    <t>BW allowance</t>
  </si>
  <si>
    <t>1; Viewing decks x 2 (5x3m), 2; Covered structure full length 2m clear</t>
  </si>
  <si>
    <t>Divide Creek</t>
  </si>
  <si>
    <t>30m gabion or rock retaining 3m high with barrier</t>
  </si>
  <si>
    <t>Existing worn but unmarked track, pole to high point, boardwalk in sensitive wetlands</t>
  </si>
  <si>
    <t>Bench 60% to create uniform surface and ensure walkers stick to track, rest poled in easy tussock, boardwalk allowance for sensitive wet areas</t>
  </si>
  <si>
    <t>Hand bench &amp; mark trail down easy gully to bush edge</t>
  </si>
  <si>
    <t>Benching in forest along creek margins to Bridge 1</t>
  </si>
  <si>
    <t>Benching in forest along creek margins to Bridge 2</t>
  </si>
  <si>
    <t>Rock benching over bluff (low water route in river bed)</t>
  </si>
  <si>
    <t>Easy Red Beech forest to road</t>
  </si>
  <si>
    <t>Allow extra 200m in wetlands</t>
  </si>
  <si>
    <t>2x 3 wire</t>
  </si>
  <si>
    <t>Poled route with no benching, easy tussock &amp; exposed shingles, simple descent into Cascade Creek via open gully from pt 1409</t>
  </si>
  <si>
    <t>Marked route in river and cleared along forest where easy to do so, cross river repeatedly where best crossings, no benching</t>
  </si>
  <si>
    <t>3 wire bridges as per above BCC sites</t>
  </si>
  <si>
    <t>Solid rock benching expected from Routeburn track down</t>
  </si>
  <si>
    <t>Solid rock benching up to knoll &amp; viewing tower site 1, needs to have stairs up to deck 6m up say as no good cliffs to locate on</t>
  </si>
  <si>
    <t>Divide Creek Bridge</t>
  </si>
  <si>
    <t>Small creek crossing - usually wet</t>
  </si>
  <si>
    <t>Realign track</t>
  </si>
  <si>
    <t>Soft wet areas to cross, could also realign track</t>
  </si>
  <si>
    <t>20m bridge over Hollyford, 90m boardwalk on true left as subject to flooding</t>
  </si>
  <si>
    <t>Viewing platform on bush edge 6x3m</t>
  </si>
  <si>
    <t>1m wide gravelled, 10m per m3, no fill as all benched in colluvium</t>
  </si>
  <si>
    <t>40m suspension bridge above Chasm appears technically feasible</t>
  </si>
  <si>
    <t>175m Bluff Bridge (110 &amp; 65m)</t>
  </si>
  <si>
    <t>35m suspension bridge replaces Horse bridge, aim to incorporate old materials decoratively into new bridge</t>
  </si>
  <si>
    <t>1m wide finished width, 1.2m fill, 1m AP, Import from road first 300m</t>
  </si>
  <si>
    <t>Import from 4wd access track at 1100m - 300m each way</t>
  </si>
  <si>
    <t>22m retaining wall @ 1m in gravel up to Creek 160</t>
  </si>
  <si>
    <t>Import from road access at Milford lodge</t>
  </si>
  <si>
    <t>BW allowance for low lying</t>
  </si>
  <si>
    <t xml:space="preserve">Widen track to 1.5m min &amp; new stairs 1.5m, </t>
  </si>
  <si>
    <t>barrier on cliff edge 20m</t>
  </si>
  <si>
    <t>Widen existing stairs to deck, existing deck ok</t>
  </si>
  <si>
    <t>New track up past water tanks to bluff viewing deck 2m above gl</t>
  </si>
  <si>
    <t>50m of stairs with barrier and 18m² viewing deck on good rock</t>
  </si>
  <si>
    <t>Bowen Falls - Upper Track, SST &amp; BCC</t>
  </si>
  <si>
    <t>50m ctrs allowance, may not be required depending on final design &amp; drainage, Heli ex freshwater, 2m30s return time due to lift $ 150 per load</t>
  </si>
  <si>
    <t>Benching in rock</t>
  </si>
  <si>
    <t>Bluff Bridge &amp; 6x3m (18m²) viewing deck</t>
  </si>
  <si>
    <t>BCC track</t>
  </si>
  <si>
    <t>Bowen Falls - Upper Track BCC</t>
  </si>
  <si>
    <t xml:space="preserve">Replace gentry with pontoon? </t>
  </si>
  <si>
    <t>BW over flood prone areas + 6x3m viewing area of gravel (18m²)</t>
  </si>
  <si>
    <t>Bowen Falls - Lower falls gantry - SST</t>
  </si>
  <si>
    <t>track to base of cliff, fill to build up</t>
  </si>
  <si>
    <t>Stairs on rock face</t>
  </si>
  <si>
    <t>Heli gravel ex freshwater, 1m30 return time, $90 per load</t>
  </si>
  <si>
    <t>Bluff bridge &amp; 18m² viewing deck</t>
  </si>
  <si>
    <t>Access off airstrip 0-800m &amp; 1900-2100m, rest heli fill &amp; AP</t>
  </si>
  <si>
    <t>Heli gravel fill ex airstrip, 1m30 return time = $90 per load</t>
  </si>
  <si>
    <t>Eglinton Valley Cycle Trail - Grade 2 NZCT</t>
  </si>
  <si>
    <t>Ex 4wd trac, grade, water channel (WC) and limited gravel 30% length, close to vehicles</t>
  </si>
  <si>
    <t>Follow river edge of new fence on bulldozed track</t>
  </si>
  <si>
    <t>into beech forest down to bridge true left</t>
  </si>
  <si>
    <t>Toilet &amp; shelter at interesting glacial knoll</t>
  </si>
  <si>
    <t>Option to have side track to Gorge Overlook</t>
  </si>
  <si>
    <t>Limestone Gorge Section</t>
  </si>
  <si>
    <t>Open flats, Old river channel, periodic flooding</t>
  </si>
  <si>
    <t>Climb into forest, steep bank</t>
  </si>
  <si>
    <t>Toilet &amp; jetty (assume B/W) &amp; shelter</t>
  </si>
  <si>
    <t>Rock armour on river edge at East branch, 2m high 2m wide (alternative is high 1.5km sidle)</t>
  </si>
  <si>
    <t>Bridge over Eglinton River 40m, 1.5m above bank with 20m approach ramp</t>
  </si>
  <si>
    <t>Grassy flats on true left to SH94 margins</t>
  </si>
  <si>
    <t>Road berm work classed as hard due to TMP and SH94 operational impacts</t>
  </si>
  <si>
    <t>Beech forest, easy</t>
  </si>
  <si>
    <t>Mirror Lake Car Park</t>
  </si>
  <si>
    <t>Separation kerb, 270m plus bollards and other shared space requirements</t>
  </si>
  <si>
    <t>Wesney Creek suspension bridge</t>
  </si>
  <si>
    <t>Deer Flat 4wd track - upgrade, subject to flooding</t>
  </si>
  <si>
    <t>Soft wet areas, fill, WC both sides, 300DN at 20m ctrs</t>
  </si>
  <si>
    <t>Smithy Creek</t>
  </si>
  <si>
    <t>Earl Mtns car park</t>
  </si>
  <si>
    <t>Trail next to SH94</t>
  </si>
  <si>
    <t>Stob bank, on top as best view, alternative is on roadside which is also easy</t>
  </si>
  <si>
    <t>Next to SH94 on very wide berm</t>
  </si>
  <si>
    <t>Steep slope cut to avoid road</t>
  </si>
  <si>
    <t>Upper Eglinton Camp</t>
  </si>
  <si>
    <t>Grass flats</t>
  </si>
  <si>
    <t>Easy beech</t>
  </si>
  <si>
    <t>Hard beech &amp; 10m of 1.5m retaining around large tree on road verge</t>
  </si>
  <si>
    <t>Eglinton River at Mistake Creek walk wire, 24m bridge &amp; 24m approach ramps as 2m above Ex GL</t>
  </si>
  <si>
    <t>Shingle fan with creek</t>
  </si>
  <si>
    <t>Small tributary</t>
  </si>
  <si>
    <t>Shingle Fan dry creek above gravel stockpile area</t>
  </si>
  <si>
    <t>Lake Gunn outlet, 8m jetty (B/W)</t>
  </si>
  <si>
    <t>Check</t>
  </si>
  <si>
    <t xml:space="preserve">See below </t>
  </si>
  <si>
    <t>TOTAL Track</t>
  </si>
  <si>
    <t>Total Structures</t>
  </si>
  <si>
    <t>AP Gravelling</t>
  </si>
  <si>
    <t xml:space="preserve">Start </t>
  </si>
  <si>
    <t>Easy cart</t>
  </si>
  <si>
    <t>Moxy 1km</t>
  </si>
  <si>
    <t>Moxy 2km</t>
  </si>
  <si>
    <t>Moxy &gt;2km</t>
  </si>
  <si>
    <t>Heli &lt;1km</t>
  </si>
  <si>
    <t>Heli &gt;1km</t>
  </si>
  <si>
    <t>RATES per m trail</t>
  </si>
  <si>
    <t>Total $$</t>
  </si>
  <si>
    <t>Ex. Knobs Flat</t>
  </si>
  <si>
    <t>Cart south max 10km, Cart north max 6km, assume 6km average @ $1.5/km</t>
  </si>
  <si>
    <t>Volume</t>
  </si>
  <si>
    <t>Along track</t>
  </si>
  <si>
    <t>East Eglinton Rock Armour</t>
  </si>
  <si>
    <t>Building</t>
  </si>
  <si>
    <t>Assume 5m per day, 2 machines &amp; 2px</t>
  </si>
  <si>
    <t>Miscellaneous Items</t>
  </si>
  <si>
    <t>QTY</t>
  </si>
  <si>
    <t>Total</t>
  </si>
  <si>
    <t>Shelters</t>
  </si>
  <si>
    <t>Kerb</t>
  </si>
  <si>
    <t>Retaining 1.5m</t>
  </si>
  <si>
    <t>TOTAL ALL</t>
  </si>
  <si>
    <t>PROFESSIONAL SERVICES</t>
  </si>
  <si>
    <t>Geotechnical engineering</t>
  </si>
  <si>
    <t>Allowance for major strcutre investigations</t>
  </si>
  <si>
    <t>Trail design &amp; PM</t>
  </si>
  <si>
    <t>Consents/approvals</t>
  </si>
  <si>
    <t>Cascade Creek to The Divide Trail - Grade 2 NZCT</t>
  </si>
  <si>
    <t>Bluff Bridge</t>
  </si>
  <si>
    <t>Melita Falls bridge 40, Bluff Bridge 170m</t>
  </si>
  <si>
    <t>SH94 trail - Grade 2 NZCT</t>
  </si>
  <si>
    <t>Dunton Creek</t>
  </si>
  <si>
    <t>Raised BW on steep road edge</t>
  </si>
  <si>
    <t>Beech forest route</t>
  </si>
  <si>
    <t>Lower Boyd Creek &amp; others</t>
  </si>
  <si>
    <t>30 mile Creek</t>
  </si>
  <si>
    <t>Behind Road Barrier on bluff</t>
  </si>
  <si>
    <t>MacKay Creek</t>
  </si>
  <si>
    <t>Eglinton East Bridge</t>
  </si>
  <si>
    <t>O&amp;M</t>
  </si>
  <si>
    <t>Allow 10% per annum on gravelled tracks</t>
  </si>
  <si>
    <t>Countess Range Hut - 20 bed</t>
  </si>
  <si>
    <t>per day using heli access, allow 5 days annually or on foot 3x month x 9 Mn</t>
  </si>
  <si>
    <t>Warden (Oct-April)</t>
  </si>
  <si>
    <t>7 months at $150/day</t>
  </si>
  <si>
    <t>Toilet empty</t>
  </si>
  <si>
    <t xml:space="preserve"> heli empty x2 annually</t>
  </si>
  <si>
    <t>P&amp;G &amp; Misc. - 60%</t>
  </si>
  <si>
    <t>Office support, PM etc</t>
  </si>
  <si>
    <t>Countess Range Hut - 40 bed</t>
  </si>
  <si>
    <t>per day using heli access, allow 8 days annually or on foot 3x month x 9 Mn</t>
  </si>
  <si>
    <t>P&amp;G &amp; Misc. - 80%</t>
  </si>
  <si>
    <t>Countess Range Track - BCC</t>
  </si>
  <si>
    <t>Vegetation clearance</t>
  </si>
  <si>
    <t>Team of 2 x 12hrs x 5 days</t>
  </si>
  <si>
    <t>surface repair</t>
  </si>
  <si>
    <t>Small ex &amp; 2px - Assume 5 days annually, 2hrs heli to fly in/out</t>
  </si>
  <si>
    <t>Bridge inspections - visual</t>
  </si>
  <si>
    <t>1 day field &amp; 1 day report</t>
  </si>
  <si>
    <t>Bridge inspections - structural</t>
  </si>
  <si>
    <t>1 day field &amp; 1 day report - bi annual</t>
  </si>
  <si>
    <t>Office support etc</t>
  </si>
  <si>
    <t>Countess Range Track - BCA</t>
  </si>
  <si>
    <t>Vegetation clearance - biannual</t>
  </si>
  <si>
    <t>Team of 2 x 12hrs x 5 days every 2 years</t>
  </si>
  <si>
    <t>Track marking</t>
  </si>
  <si>
    <t>1 day every 2 years</t>
  </si>
  <si>
    <t>Trail manager</t>
  </si>
  <si>
    <t>Manages comms, website, repairs, operators etc as for Great Rides</t>
  </si>
  <si>
    <t>Regular inspection</t>
  </si>
  <si>
    <t>Allow for weekly Oct-April, 2 weekly May-Sept</t>
  </si>
  <si>
    <t>Annual Bridge Inspection</t>
  </si>
  <si>
    <t>2 days field &amp; reporting</t>
  </si>
  <si>
    <t>Allow 10% per annum on gravelled tracks esp. in braided river env</t>
  </si>
  <si>
    <t>Contingency 20%</t>
  </si>
  <si>
    <t>Allowance for extreme weather related damage</t>
  </si>
  <si>
    <t>Cycle Trail - Cascade Creek to The Divide</t>
  </si>
  <si>
    <t xml:space="preserve">Contingency </t>
  </si>
  <si>
    <t>Allowance for extreme weather related damage to bridges</t>
  </si>
  <si>
    <t>SH94 cycle trail</t>
  </si>
  <si>
    <t>1 days field &amp; reporting</t>
  </si>
  <si>
    <t>Eglinton River Track</t>
  </si>
  <si>
    <t>Mow grass along track edges</t>
  </si>
  <si>
    <t>Office support, project Mmgt, supervision, H&amp;S etc</t>
  </si>
  <si>
    <t>Annual clearance</t>
  </si>
  <si>
    <t>Treefall clearance</t>
  </si>
  <si>
    <t>Assume 6x annual</t>
  </si>
  <si>
    <t>Annual allowance - repairs every 3-5yrs</t>
  </si>
  <si>
    <t>Lake Gunn Nature Trail</t>
  </si>
  <si>
    <t>P&amp;G &amp; Misc. - 30%</t>
  </si>
  <si>
    <t>Key Summit to Cascade Creek Track - Easy Tramp</t>
  </si>
  <si>
    <t>Annual clearance in Cascade Creek, 4 days x 2px</t>
  </si>
  <si>
    <t>Assume 4x annual</t>
  </si>
  <si>
    <t>Markers/pole inspection</t>
  </si>
  <si>
    <t>Annual walk to check/replace markers and poles</t>
  </si>
  <si>
    <t>Key Summit to Cascade Creek Track - Advanced Tramp</t>
  </si>
  <si>
    <t>Bi-Annual clearance in Cascade Creek - 1 day</t>
  </si>
  <si>
    <t>Markers/pole inspection/signage</t>
  </si>
  <si>
    <t>Bi-Annual walk to check/replace markers and poles</t>
  </si>
  <si>
    <t>Pass Creek Track - BCC</t>
  </si>
  <si>
    <t>Annual clearance in Cascade Creek</t>
  </si>
  <si>
    <t>Assume 2x annual</t>
  </si>
  <si>
    <t xml:space="preserve">Annual clearance </t>
  </si>
  <si>
    <t>1 day field &amp; 1 day report - Annual</t>
  </si>
  <si>
    <t>Lake Marian Track upgrade</t>
  </si>
  <si>
    <t>Lake Marian Loop Track</t>
  </si>
  <si>
    <t>Water channels &amp; generally track settling</t>
  </si>
  <si>
    <t>Years 1-5, 3 days excavator to tidy + heli</t>
  </si>
  <si>
    <t>Marian Falls Loop</t>
  </si>
  <si>
    <t>Extra option</t>
  </si>
  <si>
    <t>Annual clearance + tree fall response</t>
  </si>
  <si>
    <t>Assume 2x annual in addition to above veg clearance</t>
  </si>
  <si>
    <t>Years 1-5, 1 days excavator to tidy + heli</t>
  </si>
  <si>
    <t>Annual clearance on envelope margins</t>
  </si>
  <si>
    <t>Treefall repair - 10m</t>
  </si>
  <si>
    <t>Assume tree wipes out 10m annually</t>
  </si>
  <si>
    <t>Roof/platform inspections - visual</t>
  </si>
  <si>
    <t>Roof/platform inspections - structural</t>
  </si>
  <si>
    <t>1 day field &amp; 1 day report - bi annual inc viewing platforms</t>
  </si>
  <si>
    <t>Gertrude Loop Track</t>
  </si>
  <si>
    <t>Limited growth in alpine beech forest &amp; scrub</t>
  </si>
  <si>
    <t>1 day field &amp; 1 day report, biannual</t>
  </si>
  <si>
    <t>Annual vegetation clearance</t>
  </si>
  <si>
    <t>Annual bridge inspections inc viewing deck</t>
  </si>
  <si>
    <t>Bluff bridge contingency</t>
  </si>
  <si>
    <t>10m damage contingency on bluff bridges</t>
  </si>
  <si>
    <t>Barren Peak Spur Track</t>
  </si>
  <si>
    <t>Minimal veg to clear, allow for treefall 2x annually</t>
  </si>
  <si>
    <t>Assume 2x annual, limited tree fall potential as smaller trees, less dense</t>
  </si>
  <si>
    <t>Stairs and Viewing deck R&amp;M</t>
  </si>
  <si>
    <t>Allow for 2 days for carpenter to repair minor defects</t>
  </si>
  <si>
    <t>1 day field &amp; 0.5 day report</t>
  </si>
  <si>
    <t>Bowen Falls Upper short walk</t>
  </si>
  <si>
    <t>Assume 6x annual for high use/LoS track</t>
  </si>
  <si>
    <t>Allow for 2 days for carpenter to repair minor defects + heli</t>
  </si>
  <si>
    <t>Rope access for inspections</t>
  </si>
  <si>
    <t>Day inspection</t>
  </si>
  <si>
    <t>Bowen Falls Upper easy tramping track</t>
  </si>
  <si>
    <t>Bowen Falls Lower short walk</t>
  </si>
  <si>
    <t>1 day inspection of main access to lower falls</t>
  </si>
  <si>
    <t>Geotech inspection of rock face above access</t>
  </si>
  <si>
    <t>1 day inspection of main cliff face annually</t>
  </si>
  <si>
    <t>Annual clearance, 2px 2 days</t>
  </si>
  <si>
    <t>Assume 8x annual for high use/LoS track</t>
  </si>
  <si>
    <t>Markers/poles &amp; sign inspection</t>
  </si>
  <si>
    <t>1 day field &amp; 0.5 day report - bi annual</t>
  </si>
  <si>
    <t>Total P&amp;G</t>
  </si>
  <si>
    <t>About 2 staff full time</t>
  </si>
  <si>
    <t>TOTAL OPEX ALL PROJECTS</t>
  </si>
  <si>
    <t>about 2% of total cost so a bit low</t>
  </si>
  <si>
    <t>Hut cost</t>
  </si>
  <si>
    <t>Name</t>
  </si>
  <si>
    <t>Year</t>
  </si>
  <si>
    <t>Total cost</t>
  </si>
  <si>
    <t>Beds</t>
  </si>
  <si>
    <t>Staff</t>
  </si>
  <si>
    <t>$/bed</t>
  </si>
  <si>
    <t>Area</t>
  </si>
  <si>
    <t>$/m²</t>
  </si>
  <si>
    <t>m² per bed</t>
  </si>
  <si>
    <t>Moonlight Tops</t>
  </si>
  <si>
    <t>Construction &amp; planning</t>
  </si>
  <si>
    <t>Yes x2</t>
  </si>
  <si>
    <t>Cost per hut - assume similar</t>
  </si>
  <si>
    <t>Helicopter cost</t>
  </si>
  <si>
    <t>Total 2017-18</t>
  </si>
  <si>
    <t>Construction &amp; planning 2023</t>
  </si>
  <si>
    <t>Helicopter 2023</t>
  </si>
  <si>
    <t>Total 2023</t>
  </si>
  <si>
    <t>40 Bed hut - double Moonlight Tops  footprint</t>
  </si>
  <si>
    <t xml:space="preserve">40 Bed hut   </t>
  </si>
  <si>
    <t>Cost in 2018 $$</t>
  </si>
  <si>
    <t>Cost in 2019 $$</t>
  </si>
  <si>
    <t>Cost in 2020 $$</t>
  </si>
  <si>
    <t>Cost in 2021 $$</t>
  </si>
  <si>
    <t>Cost in 2022 $$</t>
  </si>
  <si>
    <t>Cost in 2023 $$</t>
  </si>
  <si>
    <t>Cost in 2024 $$</t>
  </si>
  <si>
    <t>Heli Costs</t>
  </si>
  <si>
    <t>Construction cost Inflation factors</t>
  </si>
  <si>
    <t>Inflation</t>
  </si>
  <si>
    <t>17-18</t>
  </si>
  <si>
    <t>Bridges have gone up from $ 2,000/m in 2019 to $4,500m in 2022/23</t>
  </si>
  <si>
    <t>Heaphy hut</t>
  </si>
  <si>
    <t>Heaphy staff</t>
  </si>
  <si>
    <t>Helicopters</t>
  </si>
  <si>
    <t>% change</t>
  </si>
  <si>
    <t>Labour</t>
  </si>
  <si>
    <t>Status</t>
  </si>
  <si>
    <t>Moonlight Tops Hut</t>
  </si>
  <si>
    <t>Completed</t>
  </si>
  <si>
    <t>Final cost</t>
  </si>
  <si>
    <t>Mintaro Hut</t>
  </si>
  <si>
    <t>Cost from Stuff/RNZ/Wilderness at official opening</t>
  </si>
  <si>
    <t>Average</t>
  </si>
  <si>
    <t>Pouakai Hut</t>
  </si>
  <si>
    <t>Planned - estimate only</t>
  </si>
  <si>
    <t>Estimate from DOC 2023 + 30-40% escalation</t>
  </si>
  <si>
    <t>Escalation 30-40%</t>
  </si>
  <si>
    <t>Average 2023-24</t>
  </si>
  <si>
    <t>Countess Range</t>
  </si>
  <si>
    <t>20 Bed estimate</t>
  </si>
  <si>
    <t>40 Bed estimate</t>
  </si>
  <si>
    <t>Turk</t>
  </si>
  <si>
    <t>STAKEHOLDER SUMMARY MARCH 2023</t>
  </si>
  <si>
    <t>Opportunity</t>
  </si>
  <si>
    <t>Feedback/comments</t>
  </si>
  <si>
    <t xml:space="preserve">Comments about linking the reveal trail to Eglinton Valley Cycle trail, </t>
  </si>
  <si>
    <t>Noted existing similar options like Lake Gunn Nature Walk, good for people with wheelchair or push chairs, comments that it would not be very unique as similar things exist so what value does it add, good sunny campsite (kiosk Creek), felt the existing walks are not very appealing for a day walk but overnight stays would find walks ok, noted short waterfall track, consider accessible tracks</t>
  </si>
  <si>
    <t xml:space="preserve">Countess Range Track &amp; Hut </t>
  </si>
  <si>
    <t>Agree demand for alpine hut similar to Brewster, Lux more, Mt Brown, would need management, 80 bed hut would be very large, environmental impact of large hut an issue, possible link to East Eglinton from hut site, NZAC support high alpine hut in more easterly location like this, Great Walks survey showing erosion of hut etiquette and behaviour, increased user expectations (phone chargers, no snoring), unsure if any effect on hunters, new hut not about alleviating demand</t>
  </si>
  <si>
    <t>Te Anau Downs to The Divide cycle trail</t>
  </si>
  <si>
    <t>Support for what would be popular track if consistent with FTT trail, similar to Wilderness trail being grade 2 with some challenging bits is considered the sweet spot, general support for trail up the valley as road is already there, benefits of multiuse trail noted, consideration for disability access</t>
  </si>
  <si>
    <t>Lake Marian Waterfall Track</t>
  </si>
  <si>
    <t>Noted congestion and need to take pressure off this SST section to the cascades, would loop do this?</t>
  </si>
  <si>
    <t>No comments specific to this proposal</t>
  </si>
  <si>
    <t>While new track doubles costs it would take visitors to something new over a there and back track as it is now, loop track could reduce congestion pressure on the waterfall track (possibly), possible avalanche or Geotech issues on true left of creek, loop supported as offering better visitor experience</t>
  </si>
  <si>
    <t>Covered nature trail (accessible)</t>
  </si>
  <si>
    <t xml:space="preserve">Strong disagreement with covered trail idea, suggests you will not have covered trail from car park to start on true left of Hollyford river so what is the point, visual impact over covered trail, </t>
  </si>
  <si>
    <t>Pass Creek connection</t>
  </si>
  <si>
    <t>Could work when The Divide access waws questionable, considered too long for half day loop</t>
  </si>
  <si>
    <t>Key Summit To Cascade Creek Track</t>
  </si>
  <si>
    <t>Not discussed</t>
  </si>
  <si>
    <t>Strongly advocated for a loop track to Key Summit to improve the visitor experience, year round availability, loop back to The Divide, comments about sustainable track design and resilience</t>
  </si>
  <si>
    <t>Divide Creek link to Marian Car Park</t>
  </si>
  <si>
    <t>Gertrude Valley Loop</t>
  </si>
  <si>
    <t>Feedback very supportive for a short loop, alpine views and flowers, no other easy short stop in the alpine areas, no support for going up valley into the hazards, environmental impact of structures on current setting and place, pressure on Homer hut which would need to be resolved, creek aggrading an issue, suggest separation to avoid conflicts, risk for inexperienced visitors</t>
  </si>
  <si>
    <t>Strongly advocated for by Milford Sound Lodge, will suit their visitors perfectly, also access for Milford residents as limited for them to do, track mostly in place (trapping line)</t>
  </si>
  <si>
    <t>Barren Peak Spur walk (Poipoitahi Viewing Deck Walkway PHub16)</t>
  </si>
  <si>
    <t>Concerns raised about people being seen from the water when on the structures or the structures themselves being visible, would be nice start or end of day activity for people staying in Milford, visitor safety with viewing platforms, possibly too many options</t>
  </si>
  <si>
    <t xml:space="preserve">Feedback does not see value in Bowen Valley walk, cable car and visual impacts considered a main issue, what about a track up the old pipeline, people at the top of the falls will impact views form below and on the fiord, possible duplication with Barren Spur. erns </t>
  </si>
  <si>
    <t xml:space="preserve"> Geotechnical concerns raised</t>
  </si>
  <si>
    <t>Cleddau Delta walks (accessible)</t>
  </si>
  <si>
    <t>No comments specific to the proposal but some general comments about length of time people have in Milford and how many option do they need unless staying overnight</t>
  </si>
  <si>
    <t>Critical Structures for Walking &amp; Cycling Feasibility</t>
  </si>
  <si>
    <t>Date: 5/12/23</t>
  </si>
  <si>
    <t>Site Name</t>
  </si>
  <si>
    <t>Type</t>
  </si>
  <si>
    <t>Length</t>
  </si>
  <si>
    <t>Lower Eglinton River</t>
  </si>
  <si>
    <t>125m</t>
  </si>
  <si>
    <t>Cycle Trail crossing, lower river, no other obvious suitable sites</t>
  </si>
  <si>
    <t>East Eglinton confluence</t>
  </si>
  <si>
    <t>rock armour Track</t>
  </si>
  <si>
    <t>75m</t>
  </si>
  <si>
    <t>Trail alignment near river below erosion scarp, obvious solid rock to build rock armoured trail on to avoid &gt;2km of steep (&gt;40 degree) sidling</t>
  </si>
  <si>
    <t>Eglinton River just above East branch</t>
  </si>
  <si>
    <t>45m</t>
  </si>
  <si>
    <t>Cycle Trail crossing, no other obvious suitable sites, 1km upstream of east branch</t>
  </si>
  <si>
    <t>Countess Range Hut</t>
  </si>
  <si>
    <t>Hut</t>
  </si>
  <si>
    <t>18x10m</t>
  </si>
  <si>
    <t>Hut sites, preferred site on southern end of tops appears good and clear of natural hazards</t>
  </si>
  <si>
    <t>Kiosk Creek bridges</t>
  </si>
  <si>
    <t>2x 16m</t>
  </si>
  <si>
    <t>2 small bridges over alluvial fan creek, bed aggrading</t>
  </si>
  <si>
    <t>Eglinton River at Mistake Creek track walkwire</t>
  </si>
  <si>
    <t>24m</t>
  </si>
  <si>
    <t>Bridge in place of walk wire plus 30m approach ramps each end</t>
  </si>
  <si>
    <t>Eglinton River at Lake Gunn outlet</t>
  </si>
  <si>
    <t>20m</t>
  </si>
  <si>
    <t>Replaces old bridge remains to connect cycle trail to Cascade Creek</t>
  </si>
  <si>
    <t>Cascade Creek bridges</t>
  </si>
  <si>
    <t>35m &amp; 30m</t>
  </si>
  <si>
    <t>Bluffs on at least one end of each, no flood route without bridges</t>
  </si>
  <si>
    <t>Melita Bluff gantry(s) at Lake Gunn</t>
  </si>
  <si>
    <t>Bluff bridge</t>
  </si>
  <si>
    <t>1400m</t>
  </si>
  <si>
    <t>Very steep to vertical bluff with veneer of vegetation, very long bridge bolted to rock face, potential for vegetation debris flows, rock face bridges techncially proven on Lake Dunstan Trail</t>
  </si>
  <si>
    <t>Marian Creek bridge (below falls)</t>
  </si>
  <si>
    <t>35m</t>
  </si>
  <si>
    <t>Difficult bouldery creek, hard to confirm ground conditions and flood clearance</t>
  </si>
  <si>
    <t>Marian creek Bridge (above falls)</t>
  </si>
  <si>
    <t>55m</t>
  </si>
  <si>
    <t xml:space="preserve">As above, creek not well contained, bouldery ground, trees </t>
  </si>
  <si>
    <t>Hollyford River bridge at Homer Hut</t>
  </si>
  <si>
    <t>16m</t>
  </si>
  <si>
    <t>Wide shallow bed profile, clearly subject to floods across adjoining banks, critical to loop track on true left of creek</t>
  </si>
  <si>
    <t>Chasm Bridge</t>
  </si>
  <si>
    <t>40m</t>
  </si>
  <si>
    <t>Critical to access true left of Cleddau River, sites above (looks good) or below (possible but lidar not accurate in chasm) current bridges appear possible</t>
  </si>
  <si>
    <t>Sheerdown Peak gantry</t>
  </si>
  <si>
    <t>175m</t>
  </si>
  <si>
    <t>Steep rock face with forest/vegetation, potential for vegetation debris slides</t>
  </si>
  <si>
    <t>Horse Bridge</t>
  </si>
  <si>
    <t>Critical to be able to replace bridge, site appears sound based on historic structure 80yrs old</t>
  </si>
  <si>
    <t>Barren spur stairs and viewing platform</t>
  </si>
  <si>
    <t>Viewing platform</t>
  </si>
  <si>
    <t>50m</t>
  </si>
  <si>
    <t>Access stairs up rock face to viewing deck on rock buttress</t>
  </si>
  <si>
    <t>Lower Bowen Falls access</t>
  </si>
  <si>
    <t>Pontoon ?</t>
  </si>
  <si>
    <t>95m</t>
  </si>
  <si>
    <t>Critical to be able to gain access to lower falls without using boat, replaces former access gantry</t>
  </si>
  <si>
    <t>Upper Bowen Falls access &amp; viewing</t>
  </si>
  <si>
    <t>Gantry &amp; viewing deck</t>
  </si>
  <si>
    <t>42m &amp; 15m²</t>
  </si>
  <si>
    <t>Gantry across steep vegetated rock face to viewing platform on cliff edge overlooking upper falls</t>
  </si>
  <si>
    <t>''CTH7</t>
  </si>
  <si>
    <t>WALK1</t>
  </si>
  <si>
    <t>CCE10</t>
  </si>
  <si>
    <t>'''CCE7</t>
  </si>
  <si>
    <t>WALK4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</si>
</sst>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quot;$&quot;#,##0.00"/>
    <numFmt numFmtId="165" formatCode="_-&quot;$&quot;* #,##0.000_-;\-&quot;$&quot;* #,##0.000_-;_-&quot;$&quot;* &quot;-&quot;???_-;_-@_-"/>
    <numFmt numFmtId="166" formatCode="0.0"/>
    <numFmt numFmtId="167" formatCode="&quot;$&quot;#,##0"/>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u/>
      <sz val="11"/>
      <color theme="1"/>
      <name val="Calibri"/>
      <family val="2"/>
      <scheme val="minor"/>
    </font>
    <font>
      <sz val="11"/>
      <color rgb="FFFF0000"/>
      <name val="Calibri"/>
      <family val="2"/>
      <scheme val="minor"/>
    </font>
    <font>
      <b/>
      <sz val="11"/>
      <color rgb="FFFF0000"/>
      <name val="Calibri"/>
      <family val="2"/>
      <scheme val="minor"/>
    </font>
    <font>
      <sz val="11"/>
      <color theme="9" tint="-0.249977111117893"/>
      <name val="Calibri"/>
      <family val="2"/>
      <scheme val="minor"/>
    </font>
    <font>
      <b/>
      <sz val="11"/>
      <color theme="9" tint="-0.249977111117893"/>
      <name val="Calibri"/>
      <family val="2"/>
      <scheme val="minor"/>
    </font>
    <font>
      <sz val="11"/>
      <color theme="1"/>
      <name val="Calibri"/>
      <family val="2"/>
    </font>
    <font>
      <b/>
      <u val="singleAccounting"/>
      <sz val="11"/>
      <color theme="1"/>
      <name val="Calibri"/>
      <family val="2"/>
      <scheme val="minor"/>
    </font>
    <font>
      <sz val="8"/>
      <name val="Calibri"/>
      <family val="2"/>
      <scheme val="minor"/>
    </font>
    <font>
      <i/>
      <sz val="11"/>
      <color theme="1"/>
      <name val="Calibri"/>
      <family val="2"/>
      <scheme val="minor"/>
    </font>
    <font>
      <sz val="11"/>
      <color rgb="FF000000"/>
      <name val="Calibri"/>
      <family val="2"/>
      <scheme val="minor"/>
    </font>
    <font>
      <b/>
      <sz val="9"/>
      <color theme="1"/>
      <name val="Calibri"/>
      <family val="2"/>
      <scheme val="minor"/>
    </font>
    <font>
      <b/>
      <sz val="9"/>
      <color rgb="FF000000"/>
      <name val="Calibri"/>
      <family val="2"/>
      <scheme val="minor"/>
    </font>
    <font>
      <b/>
      <sz val="11"/>
      <color rgb="FF000000"/>
      <name val="Calibri"/>
      <family val="2"/>
      <scheme val="minor"/>
    </font>
    <font>
      <b/>
      <sz val="11"/>
      <color rgb="FF000000"/>
      <name val="Calibri"/>
      <family val="2"/>
    </font>
  </fonts>
  <fills count="1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5" tint="0.39997558519241921"/>
        <bgColor indexed="64"/>
      </patternFill>
    </fill>
    <fill>
      <patternFill patternType="solid">
        <fgColor rgb="FFFFCCFF"/>
        <bgColor indexed="64"/>
      </patternFill>
    </fill>
    <fill>
      <patternFill patternType="solid">
        <fgColor rgb="FFFFCC66"/>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CCC"/>
        <bgColor indexed="64"/>
      </patternFill>
    </fill>
    <fill>
      <patternFill patternType="solid">
        <fgColor rgb="FFFFFF00"/>
        <bgColor indexed="64"/>
      </patternFill>
    </fill>
    <fill>
      <patternFill patternType="solid">
        <fgColor theme="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42">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right" vertical="center"/>
    </xf>
    <xf numFmtId="44" fontId="0" fillId="0" borderId="0" xfId="1" applyFont="1" applyAlignment="1">
      <alignment vertical="center"/>
    </xf>
    <xf numFmtId="3" fontId="0" fillId="0" borderId="0" xfId="0" applyNumberFormat="1" applyAlignment="1">
      <alignment horizontal="center" vertical="center"/>
    </xf>
    <xf numFmtId="0" fontId="2" fillId="0" borderId="0" xfId="0" applyFont="1" applyAlignment="1">
      <alignment horizontal="right" vertical="center"/>
    </xf>
    <xf numFmtId="0" fontId="3" fillId="0" borderId="0" xfId="0" applyFont="1" applyAlignment="1">
      <alignment vertical="center"/>
    </xf>
    <xf numFmtId="0" fontId="0" fillId="0" borderId="0" xfId="0" applyAlignment="1">
      <alignment vertical="center" wrapText="1"/>
    </xf>
    <xf numFmtId="0" fontId="2" fillId="0" borderId="1" xfId="0" applyFont="1" applyBorder="1" applyAlignment="1">
      <alignment vertical="center" wrapText="1"/>
    </xf>
    <xf numFmtId="0" fontId="2" fillId="0" borderId="0" xfId="0" applyFont="1" applyAlignment="1">
      <alignment horizontal="left" vertical="center"/>
    </xf>
    <xf numFmtId="0" fontId="0" fillId="0" borderId="0" xfId="0" applyAlignment="1">
      <alignment horizontal="left" vertical="center"/>
    </xf>
    <xf numFmtId="3" fontId="2" fillId="0" borderId="1" xfId="0" applyNumberFormat="1" applyFont="1" applyBorder="1" applyAlignment="1">
      <alignment horizontal="center" vertical="center" wrapText="1"/>
    </xf>
    <xf numFmtId="0" fontId="2" fillId="0" borderId="0" xfId="0" applyFont="1" applyAlignment="1">
      <alignment wrapText="1"/>
    </xf>
    <xf numFmtId="44" fontId="0" fillId="0" borderId="0" xfId="1" applyFont="1" applyAlignment="1">
      <alignment vertical="center" wrapText="1"/>
    </xf>
    <xf numFmtId="14" fontId="0" fillId="0" borderId="0" xfId="1" applyNumberFormat="1" applyFont="1" applyAlignment="1">
      <alignment vertical="center" wrapText="1"/>
    </xf>
    <xf numFmtId="3" fontId="0" fillId="0" borderId="1" xfId="0" applyNumberFormat="1" applyBorder="1" applyAlignment="1">
      <alignment horizontal="center" vertical="center"/>
    </xf>
    <xf numFmtId="44" fontId="0" fillId="0" borderId="1" xfId="1" applyFont="1" applyBorder="1" applyAlignment="1">
      <alignment vertical="center" wrapText="1"/>
    </xf>
    <xf numFmtId="0" fontId="0" fillId="0" borderId="1" xfId="0" applyBorder="1" applyAlignment="1">
      <alignment vertical="center" wrapText="1"/>
    </xf>
    <xf numFmtId="3" fontId="2" fillId="0" borderId="1" xfId="0" applyNumberFormat="1" applyFont="1" applyBorder="1" applyAlignment="1">
      <alignment horizontal="right" vertical="center" wrapText="1"/>
    </xf>
    <xf numFmtId="44" fontId="0" fillId="0" borderId="1" xfId="1" applyFont="1" applyBorder="1" applyAlignment="1">
      <alignment horizontal="left" vertical="center" wrapText="1"/>
    </xf>
    <xf numFmtId="44" fontId="2" fillId="0" borderId="3" xfId="1" applyFont="1" applyBorder="1" applyAlignment="1">
      <alignment horizontal="center" vertical="center" wrapText="1"/>
    </xf>
    <xf numFmtId="44" fontId="0" fillId="0" borderId="0" xfId="1" applyFont="1" applyBorder="1" applyAlignment="1">
      <alignment vertical="center" wrapText="1"/>
    </xf>
    <xf numFmtId="44" fontId="0" fillId="0" borderId="0" xfId="1" applyFont="1" applyBorder="1" applyAlignment="1">
      <alignment horizontal="left" vertical="center" wrapText="1"/>
    </xf>
    <xf numFmtId="0" fontId="5" fillId="0" borderId="0" xfId="0" applyFont="1" applyAlignment="1">
      <alignment vertical="center" wrapText="1"/>
    </xf>
    <xf numFmtId="0" fontId="7" fillId="0" borderId="0" xfId="0" applyFont="1" applyAlignment="1">
      <alignment vertical="center" wrapText="1"/>
    </xf>
    <xf numFmtId="0" fontId="6" fillId="0" borderId="2"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8" fillId="0" borderId="1" xfId="0" applyFont="1" applyBorder="1" applyAlignment="1">
      <alignment horizontal="center" vertical="center" wrapText="1"/>
    </xf>
    <xf numFmtId="0" fontId="5" fillId="0" borderId="6" xfId="0" applyFont="1" applyBorder="1" applyAlignment="1">
      <alignment vertical="center" wrapText="1"/>
    </xf>
    <xf numFmtId="3" fontId="0" fillId="0" borderId="1" xfId="0" applyNumberFormat="1" applyBorder="1" applyAlignment="1">
      <alignment horizontal="center" vertical="center" wrapText="1"/>
    </xf>
    <xf numFmtId="0" fontId="2" fillId="0" borderId="0" xfId="0" applyFont="1" applyAlignment="1">
      <alignment horizontal="center" vertical="center" wrapText="1"/>
    </xf>
    <xf numFmtId="44" fontId="2" fillId="0" borderId="0" xfId="1" applyFont="1" applyBorder="1" applyAlignment="1">
      <alignment horizontal="center" vertical="center" wrapText="1"/>
    </xf>
    <xf numFmtId="0" fontId="2" fillId="0" borderId="0" xfId="0" applyFont="1" applyAlignment="1">
      <alignment vertical="center" wrapText="1"/>
    </xf>
    <xf numFmtId="0" fontId="6" fillId="0" borderId="0" xfId="0" applyFont="1" applyAlignment="1">
      <alignment vertical="center" wrapText="1"/>
    </xf>
    <xf numFmtId="0" fontId="8" fillId="0" borderId="4" xfId="0" applyFont="1" applyBorder="1" applyAlignment="1">
      <alignment horizontal="center" vertical="center" wrapText="1"/>
    </xf>
    <xf numFmtId="3" fontId="0" fillId="0" borderId="0" xfId="0" applyNumberFormat="1" applyAlignment="1">
      <alignment horizontal="center" vertical="center" wrapText="1"/>
    </xf>
    <xf numFmtId="44" fontId="2" fillId="0" borderId="1" xfId="1" applyFont="1" applyBorder="1" applyAlignment="1">
      <alignment horizontal="left" vertical="center" wrapText="1"/>
    </xf>
    <xf numFmtId="0" fontId="2" fillId="0" borderId="1" xfId="0" applyFont="1" applyBorder="1" applyAlignment="1">
      <alignment horizontal="center" vertical="center" wrapText="1"/>
    </xf>
    <xf numFmtId="0" fontId="0" fillId="0" borderId="1" xfId="0" applyBorder="1" applyAlignment="1">
      <alignment horizontal="right" vertical="center"/>
    </xf>
    <xf numFmtId="3" fontId="2" fillId="0" borderId="0" xfId="0" applyNumberFormat="1"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2" fillId="0" borderId="1" xfId="0" applyFont="1" applyBorder="1" applyAlignment="1">
      <alignment horizontal="left" vertical="center"/>
    </xf>
    <xf numFmtId="0" fontId="0" fillId="0" borderId="1" xfId="0" applyBorder="1" applyAlignment="1">
      <alignment horizontal="left" vertical="center"/>
    </xf>
    <xf numFmtId="2" fontId="0" fillId="0" borderId="1" xfId="0" applyNumberFormat="1" applyBorder="1" applyAlignment="1">
      <alignment horizontal="right" vertical="center"/>
    </xf>
    <xf numFmtId="0" fontId="0" fillId="0" borderId="1" xfId="0" applyBorder="1" applyAlignment="1">
      <alignment horizontal="center" vertical="center"/>
    </xf>
    <xf numFmtId="0" fontId="2" fillId="0" borderId="7" xfId="0" applyFont="1" applyBorder="1" applyAlignment="1">
      <alignment horizontal="right" vertical="center" wrapText="1"/>
    </xf>
    <xf numFmtId="3" fontId="0" fillId="0" borderId="7" xfId="0" applyNumberFormat="1" applyBorder="1" applyAlignment="1">
      <alignment horizontal="center" vertical="center"/>
    </xf>
    <xf numFmtId="3" fontId="0" fillId="0" borderId="7" xfId="0" applyNumberFormat="1" applyBorder="1" applyAlignment="1">
      <alignment horizontal="left" vertical="center" wrapText="1"/>
    </xf>
    <xf numFmtId="3" fontId="0" fillId="0" borderId="0" xfId="0" applyNumberFormat="1" applyAlignment="1">
      <alignment horizontal="left" vertical="center" wrapText="1"/>
    </xf>
    <xf numFmtId="44" fontId="0" fillId="2" borderId="1" xfId="1" applyFont="1" applyFill="1" applyBorder="1" applyAlignment="1">
      <alignment vertical="center" wrapText="1"/>
    </xf>
    <xf numFmtId="44" fontId="0" fillId="3" borderId="1" xfId="1" applyFont="1" applyFill="1" applyBorder="1" applyAlignment="1">
      <alignment vertical="center" wrapText="1"/>
    </xf>
    <xf numFmtId="0" fontId="0" fillId="0" borderId="0" xfId="1" applyNumberFormat="1" applyFont="1" applyAlignment="1">
      <alignment vertical="center" wrapText="1"/>
    </xf>
    <xf numFmtId="0" fontId="2" fillId="0" borderId="0" xfId="1" applyNumberFormat="1" applyFont="1" applyBorder="1" applyAlignment="1">
      <alignment horizontal="center" vertical="center" wrapText="1"/>
    </xf>
    <xf numFmtId="0" fontId="0" fillId="0" borderId="0" xfId="1" applyNumberFormat="1" applyFont="1" applyFill="1" applyBorder="1" applyAlignment="1">
      <alignment vertical="center" wrapText="1"/>
    </xf>
    <xf numFmtId="0" fontId="0" fillId="0" borderId="0" xfId="1" applyNumberFormat="1" applyFont="1" applyBorder="1" applyAlignment="1">
      <alignment vertical="center" wrapText="1"/>
    </xf>
    <xf numFmtId="0" fontId="0" fillId="0" borderId="0" xfId="1" applyNumberFormat="1" applyFont="1" applyBorder="1" applyAlignment="1">
      <alignment horizontal="left" vertical="center" wrapText="1"/>
    </xf>
    <xf numFmtId="0" fontId="0" fillId="0" borderId="1" xfId="1" applyNumberFormat="1" applyFont="1" applyBorder="1" applyAlignment="1">
      <alignment vertical="center" wrapText="1"/>
    </xf>
    <xf numFmtId="44" fontId="0" fillId="4" borderId="1" xfId="1" applyFont="1" applyFill="1" applyBorder="1" applyAlignment="1">
      <alignment vertical="center" wrapText="1"/>
    </xf>
    <xf numFmtId="0" fontId="2" fillId="0" borderId="3" xfId="1" applyNumberFormat="1" applyFont="1" applyBorder="1" applyAlignment="1">
      <alignment horizontal="left" vertical="center" wrapText="1"/>
    </xf>
    <xf numFmtId="0" fontId="2" fillId="0" borderId="3" xfId="0" applyFont="1" applyBorder="1" applyAlignment="1">
      <alignment vertical="center" wrapText="1"/>
    </xf>
    <xf numFmtId="0" fontId="0" fillId="0" borderId="3" xfId="1" applyNumberFormat="1" applyFont="1" applyBorder="1" applyAlignment="1">
      <alignment vertical="center" wrapText="1"/>
    </xf>
    <xf numFmtId="0" fontId="0" fillId="0" borderId="1" xfId="1" applyNumberFormat="1" applyFont="1" applyBorder="1" applyAlignment="1">
      <alignment horizontal="left" vertical="center" wrapText="1"/>
    </xf>
    <xf numFmtId="0" fontId="0" fillId="0" borderId="0" xfId="1" applyNumberFormat="1" applyFont="1" applyAlignment="1">
      <alignment horizontal="left" vertical="center" wrapText="1"/>
    </xf>
    <xf numFmtId="0" fontId="2" fillId="0" borderId="0" xfId="1" applyNumberFormat="1" applyFont="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3" fontId="0" fillId="0" borderId="1" xfId="0" applyNumberFormat="1" applyBorder="1" applyAlignment="1">
      <alignment horizontal="left" vertical="center" wrapText="1"/>
    </xf>
    <xf numFmtId="164" fontId="0" fillId="0" borderId="1" xfId="1" applyNumberFormat="1" applyFont="1" applyBorder="1" applyAlignment="1">
      <alignment horizontal="left" vertical="center" wrapText="1"/>
    </xf>
    <xf numFmtId="0" fontId="0" fillId="0" borderId="5" xfId="0" applyBorder="1" applyAlignment="1">
      <alignment vertical="center" wrapText="1"/>
    </xf>
    <xf numFmtId="3" fontId="0" fillId="0" borderId="5" xfId="0" applyNumberFormat="1" applyBorder="1" applyAlignment="1">
      <alignment horizontal="center" vertical="center" wrapText="1"/>
    </xf>
    <xf numFmtId="44" fontId="0" fillId="0" borderId="5" xfId="1" applyFont="1" applyBorder="1" applyAlignment="1">
      <alignment vertical="center" wrapText="1"/>
    </xf>
    <xf numFmtId="0" fontId="0" fillId="0" borderId="1" xfId="0" applyBorder="1"/>
    <xf numFmtId="0" fontId="2" fillId="0" borderId="1" xfId="0" applyFont="1" applyBorder="1" applyAlignment="1">
      <alignment wrapText="1"/>
    </xf>
    <xf numFmtId="0" fontId="0" fillId="0" borderId="0" xfId="0" applyAlignment="1">
      <alignment wrapText="1"/>
    </xf>
    <xf numFmtId="0" fontId="2" fillId="0" borderId="0" xfId="0" applyFont="1"/>
    <xf numFmtId="44" fontId="0" fillId="0" borderId="0" xfId="1" applyFont="1"/>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3" fontId="2" fillId="0" borderId="2" xfId="0" applyNumberFormat="1" applyFont="1" applyBorder="1" applyAlignment="1">
      <alignment horizontal="center" vertical="center"/>
    </xf>
    <xf numFmtId="3" fontId="2" fillId="0" borderId="0" xfId="0" applyNumberFormat="1" applyFont="1" applyAlignment="1">
      <alignment horizontal="center" vertical="center"/>
    </xf>
    <xf numFmtId="0" fontId="2" fillId="0" borderId="9" xfId="0" applyFont="1" applyBorder="1" applyAlignment="1">
      <alignment vertical="center"/>
    </xf>
    <xf numFmtId="44" fontId="2" fillId="0" borderId="9" xfId="0" applyNumberFormat="1" applyFont="1" applyBorder="1" applyAlignment="1">
      <alignment vertical="center" wrapText="1"/>
    </xf>
    <xf numFmtId="0" fontId="0" fillId="0" borderId="0" xfId="0" applyAlignment="1">
      <alignment horizontal="center" vertical="center" wrapText="1"/>
    </xf>
    <xf numFmtId="0" fontId="0" fillId="0" borderId="8" xfId="0" applyBorder="1" applyAlignment="1">
      <alignment horizontal="center" vertical="center"/>
    </xf>
    <xf numFmtId="0" fontId="0" fillId="0" borderId="8" xfId="0" applyBorder="1" applyAlignment="1">
      <alignment horizontal="center" vertical="center" wrapText="1"/>
    </xf>
    <xf numFmtId="0" fontId="2" fillId="0" borderId="1" xfId="0" applyFont="1" applyBorder="1" applyAlignment="1">
      <alignment horizontal="left" vertical="center" wrapText="1"/>
    </xf>
    <xf numFmtId="44" fontId="0" fillId="0" borderId="0" xfId="0" applyNumberFormat="1"/>
    <xf numFmtId="3" fontId="2" fillId="0" borderId="0" xfId="0" applyNumberFormat="1" applyFont="1" applyAlignment="1">
      <alignment horizontal="left" vertical="center"/>
    </xf>
    <xf numFmtId="3" fontId="0" fillId="7" borderId="0" xfId="0" applyNumberFormat="1" applyFill="1" applyAlignment="1">
      <alignment horizontal="center" vertical="center"/>
    </xf>
    <xf numFmtId="0" fontId="0" fillId="7" borderId="0" xfId="0" applyFill="1" applyAlignment="1">
      <alignment horizontal="center" vertical="center"/>
    </xf>
    <xf numFmtId="0" fontId="4" fillId="0" borderId="0" xfId="0" applyFont="1"/>
    <xf numFmtId="44" fontId="0" fillId="0" borderId="0" xfId="1" applyFont="1" applyAlignment="1">
      <alignment horizontal="center" vertical="center"/>
    </xf>
    <xf numFmtId="44" fontId="0" fillId="0" borderId="0" xfId="0" applyNumberFormat="1" applyAlignment="1">
      <alignment horizontal="center" vertical="center"/>
    </xf>
    <xf numFmtId="44" fontId="2" fillId="0" borderId="0" xfId="1" applyFont="1" applyAlignment="1">
      <alignment horizontal="center" vertical="center"/>
    </xf>
    <xf numFmtId="44" fontId="2" fillId="0" borderId="9" xfId="1" applyFont="1" applyBorder="1" applyAlignment="1">
      <alignment horizontal="center" vertical="center"/>
    </xf>
    <xf numFmtId="44" fontId="2" fillId="0" borderId="9" xfId="0" applyNumberFormat="1" applyFont="1" applyBorder="1"/>
    <xf numFmtId="44" fontId="0" fillId="0" borderId="9" xfId="0" applyNumberFormat="1" applyBorder="1"/>
    <xf numFmtId="9" fontId="0" fillId="0" borderId="0" xfId="2" applyFont="1" applyAlignment="1">
      <alignment horizontal="center" vertical="center"/>
    </xf>
    <xf numFmtId="0" fontId="0" fillId="8" borderId="0" xfId="0" applyFill="1" applyAlignment="1">
      <alignment horizontal="center" vertical="center"/>
    </xf>
    <xf numFmtId="3" fontId="0" fillId="0" borderId="0" xfId="0" applyNumberFormat="1" applyAlignment="1">
      <alignment horizontal="left" vertical="center"/>
    </xf>
    <xf numFmtId="3" fontId="2" fillId="0" borderId="9" xfId="0" applyNumberFormat="1" applyFont="1" applyBorder="1" applyAlignment="1">
      <alignment horizontal="center" vertical="center"/>
    </xf>
    <xf numFmtId="3" fontId="2" fillId="8" borderId="0" xfId="0" applyNumberFormat="1" applyFont="1" applyFill="1" applyAlignment="1">
      <alignment horizontal="right" vertical="center"/>
    </xf>
    <xf numFmtId="3" fontId="0" fillId="0" borderId="9" xfId="0" applyNumberFormat="1" applyBorder="1" applyAlignment="1">
      <alignment horizontal="center" vertical="center"/>
    </xf>
    <xf numFmtId="3" fontId="0" fillId="6" borderId="0" xfId="0" applyNumberFormat="1" applyFill="1" applyAlignment="1">
      <alignment horizontal="center" vertical="center"/>
    </xf>
    <xf numFmtId="0" fontId="0" fillId="6" borderId="0" xfId="0" applyFill="1" applyAlignment="1">
      <alignment horizontal="center" vertical="center"/>
    </xf>
    <xf numFmtId="44" fontId="2" fillId="0" borderId="0" xfId="1" applyFont="1" applyBorder="1" applyAlignment="1">
      <alignment horizontal="center" vertical="center"/>
    </xf>
    <xf numFmtId="3" fontId="2" fillId="0" borderId="1" xfId="0" applyNumberFormat="1" applyFont="1" applyBorder="1" applyAlignment="1">
      <alignment horizontal="right" vertical="center"/>
    </xf>
    <xf numFmtId="0" fontId="0" fillId="0" borderId="0" xfId="0" applyAlignment="1">
      <alignment horizontal="left"/>
    </xf>
    <xf numFmtId="0" fontId="2" fillId="0" borderId="9" xfId="0" applyFont="1" applyBorder="1" applyAlignment="1">
      <alignment horizontal="left" vertical="center"/>
    </xf>
    <xf numFmtId="44" fontId="0" fillId="0" borderId="0" xfId="1" applyFont="1" applyFill="1"/>
    <xf numFmtId="0" fontId="12" fillId="0" borderId="0" xfId="0" applyFont="1" applyAlignment="1">
      <alignment horizontal="left" vertical="center"/>
    </xf>
    <xf numFmtId="0" fontId="0" fillId="0" borderId="0" xfId="0" applyAlignment="1">
      <alignment horizontal="center"/>
    </xf>
    <xf numFmtId="44" fontId="0" fillId="0" borderId="0" xfId="0" applyNumberFormat="1" applyAlignment="1">
      <alignment vertical="center"/>
    </xf>
    <xf numFmtId="9" fontId="0" fillId="0" borderId="0" xfId="1" applyNumberFormat="1" applyFont="1"/>
    <xf numFmtId="9" fontId="0" fillId="0" borderId="0" xfId="0" applyNumberFormat="1" applyAlignment="1">
      <alignment vertical="center"/>
    </xf>
    <xf numFmtId="165" fontId="0" fillId="0" borderId="0" xfId="0" applyNumberFormat="1" applyAlignment="1">
      <alignment vertical="center"/>
    </xf>
    <xf numFmtId="0" fontId="2" fillId="0" borderId="1" xfId="0" applyFont="1" applyBorder="1" applyAlignment="1">
      <alignment vertical="center"/>
    </xf>
    <xf numFmtId="0" fontId="2" fillId="0" borderId="4" xfId="0" applyFont="1" applyBorder="1" applyAlignment="1">
      <alignment horizontal="left" vertical="center"/>
    </xf>
    <xf numFmtId="0" fontId="13" fillId="0" borderId="0" xfId="0" applyFont="1" applyAlignment="1">
      <alignment vertical="center" wrapText="1"/>
    </xf>
    <xf numFmtId="0" fontId="13" fillId="0" borderId="0" xfId="0" applyFont="1" applyAlignment="1">
      <alignment horizontal="center" vertical="center" wrapText="1"/>
    </xf>
    <xf numFmtId="9" fontId="0" fillId="0" borderId="0" xfId="2" applyFont="1" applyAlignment="1">
      <alignment vertical="center"/>
    </xf>
    <xf numFmtId="44" fontId="2" fillId="0" borderId="9" xfId="1" applyFont="1" applyBorder="1" applyAlignment="1">
      <alignment vertical="center"/>
    </xf>
    <xf numFmtId="44" fontId="2" fillId="0" borderId="9" xfId="0" applyNumberFormat="1" applyFont="1" applyBorder="1" applyAlignment="1">
      <alignment vertical="center"/>
    </xf>
    <xf numFmtId="44" fontId="2" fillId="0" borderId="0" xfId="0" applyNumberFormat="1" applyFont="1" applyAlignment="1">
      <alignment vertical="center"/>
    </xf>
    <xf numFmtId="44" fontId="2" fillId="0" borderId="1" xfId="1" applyFont="1" applyBorder="1" applyAlignment="1">
      <alignment horizontal="center" vertical="center"/>
    </xf>
    <xf numFmtId="9" fontId="0" fillId="0" borderId="1" xfId="2" applyFont="1" applyBorder="1" applyAlignment="1">
      <alignment horizontal="center" vertical="center"/>
    </xf>
    <xf numFmtId="9" fontId="2" fillId="0" borderId="1" xfId="1" applyNumberFormat="1"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vertical="center"/>
    </xf>
    <xf numFmtId="44" fontId="0" fillId="0" borderId="1" xfId="1" applyFont="1" applyBorder="1" applyAlignment="1">
      <alignment vertical="center"/>
    </xf>
    <xf numFmtId="44" fontId="0" fillId="0" borderId="1" xfId="0" applyNumberFormat="1" applyBorder="1" applyAlignment="1">
      <alignment vertical="center"/>
    </xf>
    <xf numFmtId="0" fontId="0" fillId="0" borderId="10" xfId="0" applyBorder="1" applyAlignment="1">
      <alignment vertical="center"/>
    </xf>
    <xf numFmtId="0" fontId="0" fillId="0" borderId="5" xfId="0" applyBorder="1" applyAlignment="1">
      <alignment vertical="center"/>
    </xf>
    <xf numFmtId="44" fontId="0" fillId="0" borderId="5" xfId="0" applyNumberFormat="1" applyBorder="1" applyAlignment="1">
      <alignment vertical="center"/>
    </xf>
    <xf numFmtId="44" fontId="0" fillId="0" borderId="2" xfId="0" applyNumberFormat="1" applyBorder="1" applyAlignment="1">
      <alignment vertical="center"/>
    </xf>
    <xf numFmtId="0" fontId="0" fillId="0" borderId="12" xfId="0" applyBorder="1" applyAlignment="1">
      <alignment vertical="center"/>
    </xf>
    <xf numFmtId="0" fontId="0" fillId="0" borderId="2" xfId="0" applyBorder="1" applyAlignment="1">
      <alignment vertical="center"/>
    </xf>
    <xf numFmtId="0" fontId="0" fillId="0" borderId="13" xfId="0" applyBorder="1" applyAlignment="1">
      <alignment vertical="center"/>
    </xf>
    <xf numFmtId="166" fontId="0" fillId="0" borderId="1" xfId="0" applyNumberFormat="1" applyBorder="1" applyAlignment="1">
      <alignment horizontal="center" vertical="center"/>
    </xf>
    <xf numFmtId="44" fontId="0" fillId="0" borderId="1" xfId="1" applyFont="1" applyBorder="1" applyAlignment="1">
      <alignment horizontal="center" vertical="center"/>
    </xf>
    <xf numFmtId="44" fontId="0" fillId="0" borderId="1" xfId="0" applyNumberFormat="1" applyBorder="1" applyAlignment="1">
      <alignment horizontal="center" vertical="center"/>
    </xf>
    <xf numFmtId="44" fontId="0" fillId="0" borderId="0" xfId="1" applyFont="1" applyBorder="1" applyAlignment="1">
      <alignment horizontal="center" vertical="center"/>
    </xf>
    <xf numFmtId="166" fontId="0" fillId="0" borderId="0" xfId="0" applyNumberFormat="1" applyAlignment="1">
      <alignment horizontal="center" vertical="center"/>
    </xf>
    <xf numFmtId="0" fontId="0" fillId="0" borderId="14" xfId="0" applyBorder="1" applyAlignment="1">
      <alignment horizontal="center" vertical="center"/>
    </xf>
    <xf numFmtId="44" fontId="0" fillId="0" borderId="11" xfId="0" applyNumberFormat="1" applyBorder="1" applyAlignment="1">
      <alignment horizontal="center" vertical="center"/>
    </xf>
    <xf numFmtId="44" fontId="0" fillId="0" borderId="8" xfId="0" applyNumberFormat="1" applyBorder="1" applyAlignment="1">
      <alignment horizontal="center" vertical="center"/>
    </xf>
    <xf numFmtId="44" fontId="0" fillId="0" borderId="14" xfId="0" applyNumberFormat="1" applyBorder="1" applyAlignment="1">
      <alignment horizontal="center" vertical="center"/>
    </xf>
    <xf numFmtId="44" fontId="0" fillId="0" borderId="3" xfId="1" applyFont="1" applyBorder="1" applyAlignment="1">
      <alignment horizontal="center" vertical="center"/>
    </xf>
    <xf numFmtId="0" fontId="2" fillId="0" borderId="2" xfId="0" applyFont="1" applyBorder="1" applyAlignment="1">
      <alignment vertical="center"/>
    </xf>
    <xf numFmtId="3" fontId="0" fillId="0" borderId="8" xfId="0" applyNumberFormat="1" applyBorder="1" applyAlignment="1">
      <alignment horizontal="center" vertical="center"/>
    </xf>
    <xf numFmtId="3" fontId="0" fillId="0" borderId="8" xfId="0" applyNumberFormat="1" applyBorder="1" applyAlignment="1">
      <alignment horizontal="center" vertical="center" wrapText="1"/>
    </xf>
    <xf numFmtId="44" fontId="2" fillId="0" borderId="9" xfId="0" applyNumberFormat="1" applyFont="1" applyBorder="1" applyAlignment="1">
      <alignment horizontal="center" vertical="center"/>
    </xf>
    <xf numFmtId="0" fontId="2" fillId="0" borderId="9" xfId="0" applyFont="1" applyBorder="1" applyAlignment="1">
      <alignment horizontal="right" vertical="center"/>
    </xf>
    <xf numFmtId="3" fontId="0" fillId="0" borderId="3" xfId="0" applyNumberFormat="1" applyBorder="1" applyAlignment="1">
      <alignment horizontal="center" vertical="center" wrapText="1"/>
    </xf>
    <xf numFmtId="3" fontId="0" fillId="0" borderId="0" xfId="0" applyNumberFormat="1" applyAlignment="1">
      <alignment vertical="center" wrapText="1"/>
    </xf>
    <xf numFmtId="44" fontId="2" fillId="0" borderId="0" xfId="0" applyNumberFormat="1" applyFont="1"/>
    <xf numFmtId="44" fontId="2" fillId="0" borderId="0" xfId="0" applyNumberFormat="1" applyFont="1" applyAlignment="1">
      <alignment vertical="center" wrapText="1"/>
    </xf>
    <xf numFmtId="164" fontId="0" fillId="0" borderId="0" xfId="0" applyNumberFormat="1" applyAlignment="1">
      <alignment vertical="center" wrapText="1"/>
    </xf>
    <xf numFmtId="164" fontId="0" fillId="0" borderId="0" xfId="0" applyNumberFormat="1" applyAlignment="1">
      <alignment vertical="center"/>
    </xf>
    <xf numFmtId="164" fontId="0" fillId="0" borderId="0" xfId="0" applyNumberFormat="1"/>
    <xf numFmtId="164" fontId="2" fillId="0" borderId="0" xfId="0" applyNumberFormat="1" applyFont="1" applyAlignment="1">
      <alignment vertical="center"/>
    </xf>
    <xf numFmtId="164" fontId="0" fillId="9" borderId="0" xfId="0" applyNumberFormat="1" applyFill="1"/>
    <xf numFmtId="164" fontId="0" fillId="10" borderId="0" xfId="0" applyNumberFormat="1" applyFill="1"/>
    <xf numFmtId="0" fontId="2" fillId="11" borderId="1" xfId="0" applyFont="1" applyFill="1" applyBorder="1" applyAlignment="1">
      <alignment horizontal="center" vertical="center" wrapText="1"/>
    </xf>
    <xf numFmtId="0" fontId="2" fillId="11" borderId="0" xfId="0" applyFont="1" applyFill="1"/>
    <xf numFmtId="3" fontId="2" fillId="12" borderId="10" xfId="0" applyNumberFormat="1" applyFont="1" applyFill="1" applyBorder="1" applyAlignment="1">
      <alignment horizontal="center" vertical="center" wrapText="1"/>
    </xf>
    <xf numFmtId="3" fontId="2" fillId="12" borderId="1" xfId="0" applyNumberFormat="1"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2" borderId="1" xfId="0" applyFont="1" applyFill="1" applyBorder="1" applyAlignment="1">
      <alignment horizontal="center" vertical="center"/>
    </xf>
    <xf numFmtId="0" fontId="2" fillId="12" borderId="0" xfId="0" applyFont="1" applyFill="1"/>
    <xf numFmtId="164" fontId="0" fillId="9" borderId="1" xfId="0" applyNumberFormat="1" applyFill="1" applyBorder="1" applyAlignment="1">
      <alignment vertical="center" wrapText="1"/>
    </xf>
    <xf numFmtId="164" fontId="0" fillId="10" borderId="1" xfId="0" applyNumberFormat="1" applyFill="1" applyBorder="1" applyAlignment="1">
      <alignment vertical="center" wrapText="1"/>
    </xf>
    <xf numFmtId="164" fontId="0" fillId="9" borderId="1" xfId="0" applyNumberFormat="1" applyFill="1" applyBorder="1" applyAlignment="1">
      <alignment vertical="center"/>
    </xf>
    <xf numFmtId="164" fontId="0" fillId="10" borderId="1" xfId="0" applyNumberFormat="1" applyFill="1" applyBorder="1" applyAlignment="1">
      <alignment vertical="center"/>
    </xf>
    <xf numFmtId="0" fontId="14" fillId="0" borderId="1" xfId="0" applyFont="1" applyBorder="1" applyAlignment="1">
      <alignment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164" fontId="0" fillId="0" borderId="1" xfId="1" applyNumberFormat="1" applyFont="1" applyBorder="1" applyAlignment="1">
      <alignment horizontal="center" vertical="center" wrapText="1"/>
    </xf>
    <xf numFmtId="164" fontId="0" fillId="0" borderId="1" xfId="1" applyNumberFormat="1" applyFont="1" applyBorder="1" applyAlignment="1">
      <alignment horizontal="center" vertical="center"/>
    </xf>
    <xf numFmtId="164" fontId="2" fillId="0" borderId="9" xfId="0" applyNumberFormat="1" applyFont="1" applyBorder="1" applyAlignment="1">
      <alignment vertical="center" wrapText="1"/>
    </xf>
    <xf numFmtId="0" fontId="12" fillId="0" borderId="0" xfId="0" applyFont="1"/>
    <xf numFmtId="164" fontId="0" fillId="13" borderId="1" xfId="0" applyNumberFormat="1" applyFill="1" applyBorder="1" applyAlignment="1">
      <alignment vertical="center"/>
    </xf>
    <xf numFmtId="164" fontId="0" fillId="13" borderId="0" xfId="0" applyNumberFormat="1" applyFill="1"/>
    <xf numFmtId="0" fontId="13" fillId="0" borderId="0" xfId="0" applyFont="1" applyAlignment="1">
      <alignment wrapText="1"/>
    </xf>
    <xf numFmtId="0" fontId="16" fillId="0" borderId="0" xfId="0" applyFont="1"/>
    <xf numFmtId="0" fontId="13" fillId="0" borderId="1" xfId="0" applyFont="1" applyBorder="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center" vertical="center" wrapText="1"/>
    </xf>
    <xf numFmtId="0" fontId="13" fillId="0" borderId="1" xfId="0" applyFont="1" applyBorder="1" applyAlignment="1">
      <alignment vertical="center" wrapText="1"/>
    </xf>
    <xf numFmtId="0" fontId="13" fillId="4" borderId="1" xfId="0" applyFont="1" applyFill="1" applyBorder="1" applyAlignment="1">
      <alignment horizontal="center" vertical="center"/>
    </xf>
    <xf numFmtId="0" fontId="13" fillId="3"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0" borderId="1" xfId="0" applyFont="1" applyBorder="1" applyAlignment="1">
      <alignment horizontal="left" vertical="center" wrapText="1"/>
    </xf>
    <xf numFmtId="0" fontId="16" fillId="11" borderId="1" xfId="0" applyFont="1" applyFill="1" applyBorder="1" applyAlignment="1">
      <alignment horizontal="left" vertical="center" wrapText="1" indent="2"/>
    </xf>
    <xf numFmtId="0" fontId="16" fillId="11" borderId="1" xfId="0" applyFont="1" applyFill="1" applyBorder="1" applyAlignment="1">
      <alignment horizontal="center" vertical="center" wrapText="1"/>
    </xf>
    <xf numFmtId="167" fontId="0" fillId="0" borderId="0" xfId="0" applyNumberFormat="1" applyAlignment="1">
      <alignment horizontal="center" vertical="center" wrapText="1"/>
    </xf>
    <xf numFmtId="167" fontId="0" fillId="9" borderId="1" xfId="1" applyNumberFormat="1" applyFont="1" applyFill="1" applyBorder="1" applyAlignment="1">
      <alignment horizontal="center" vertical="center" wrapText="1"/>
    </xf>
    <xf numFmtId="167" fontId="2" fillId="0" borderId="0" xfId="0" applyNumberFormat="1" applyFont="1" applyAlignment="1">
      <alignment horizontal="center" vertical="center" wrapText="1"/>
    </xf>
    <xf numFmtId="167" fontId="0" fillId="13" borderId="1" xfId="0" applyNumberFormat="1" applyFill="1" applyBorder="1" applyAlignment="1">
      <alignment horizontal="center" vertical="center" wrapText="1"/>
    </xf>
    <xf numFmtId="167" fontId="0" fillId="13" borderId="1" xfId="0" applyNumberFormat="1" applyFill="1" applyBorder="1" applyAlignment="1">
      <alignment horizontal="center" vertical="center"/>
    </xf>
    <xf numFmtId="167" fontId="0" fillId="10" borderId="1" xfId="1" applyNumberFormat="1" applyFont="1" applyFill="1" applyBorder="1" applyAlignment="1">
      <alignment horizontal="center" vertical="center" wrapText="1"/>
    </xf>
    <xf numFmtId="167" fontId="2" fillId="0" borderId="0" xfId="0" applyNumberFormat="1" applyFont="1" applyAlignment="1">
      <alignment horizontal="center" vertical="center"/>
    </xf>
    <xf numFmtId="167" fontId="0" fillId="0" borderId="0" xfId="0" applyNumberFormat="1" applyAlignment="1">
      <alignment horizontal="center"/>
    </xf>
    <xf numFmtId="167" fontId="0" fillId="9" borderId="1" xfId="0" applyNumberFormat="1" applyFill="1" applyBorder="1" applyAlignment="1">
      <alignment horizontal="center" vertical="center" wrapText="1"/>
    </xf>
    <xf numFmtId="167" fontId="0" fillId="10" borderId="1" xfId="0" applyNumberFormat="1" applyFill="1" applyBorder="1" applyAlignment="1">
      <alignment horizontal="center" vertical="center" wrapText="1"/>
    </xf>
    <xf numFmtId="167" fontId="0" fillId="0" borderId="1" xfId="1" applyNumberFormat="1" applyFont="1" applyBorder="1" applyAlignment="1">
      <alignment horizontal="left" vertical="center" wrapText="1"/>
    </xf>
    <xf numFmtId="0" fontId="2" fillId="11" borderId="1" xfId="0" applyFont="1" applyFill="1" applyBorder="1" applyAlignment="1">
      <alignment vertical="center"/>
    </xf>
    <xf numFmtId="0" fontId="2" fillId="12" borderId="1" xfId="0" applyFont="1" applyFill="1" applyBorder="1" applyAlignment="1">
      <alignment horizontal="left" vertical="center"/>
    </xf>
    <xf numFmtId="164" fontId="0" fillId="0" borderId="1" xfId="1" applyNumberFormat="1" applyFont="1" applyFill="1" applyBorder="1" applyAlignment="1">
      <alignment horizontal="left" vertical="center" wrapText="1"/>
    </xf>
    <xf numFmtId="0" fontId="2" fillId="11" borderId="3" xfId="0" applyFont="1" applyFill="1" applyBorder="1" applyAlignment="1">
      <alignment horizontal="center" vertical="center" wrapText="1"/>
    </xf>
    <xf numFmtId="3" fontId="2" fillId="12" borderId="5" xfId="0" applyNumberFormat="1" applyFont="1" applyFill="1" applyBorder="1" applyAlignment="1">
      <alignment horizontal="center" vertical="center" wrapText="1"/>
    </xf>
    <xf numFmtId="0" fontId="17" fillId="11" borderId="1" xfId="0" applyFont="1" applyFill="1" applyBorder="1" applyAlignment="1">
      <alignment horizontal="center" vertical="center" wrapText="1"/>
    </xf>
    <xf numFmtId="167" fontId="2" fillId="14" borderId="0" xfId="0" applyNumberFormat="1" applyFont="1" applyFill="1" applyAlignment="1">
      <alignment horizontal="center" vertical="center" wrapText="1"/>
    </xf>
    <xf numFmtId="0" fontId="0" fillId="0" borderId="1" xfId="0" quotePrefix="1" applyBorder="1" applyAlignment="1">
      <alignment horizontal="center" vertical="center" wrapText="1"/>
    </xf>
    <xf numFmtId="0" fontId="0" fillId="0" borderId="1" xfId="0" quotePrefix="1" applyBorder="1" applyAlignment="1">
      <alignment horizontal="center" vertical="center"/>
    </xf>
    <xf numFmtId="0" fontId="0" fillId="15" borderId="1" xfId="0" applyFill="1" applyBorder="1" applyAlignment="1">
      <alignment horizontal="center" vertical="center" wrapText="1"/>
    </xf>
    <xf numFmtId="0" fontId="2" fillId="0" borderId="0" xfId="0" applyFont="1" applyAlignment="1">
      <alignment horizontal="left" vertical="center" wrapText="1"/>
    </xf>
    <xf numFmtId="0" fontId="0" fillId="0" borderId="2" xfId="0" applyBorder="1" applyAlignment="1">
      <alignment horizontal="left" vertical="center" wrapText="1"/>
    </xf>
    <xf numFmtId="0" fontId="0" fillId="0" borderId="8" xfId="0" applyBorder="1" applyAlignment="1">
      <alignment horizontal="left" vertical="center" wrapText="1"/>
    </xf>
    <xf numFmtId="0" fontId="0" fillId="0" borderId="3" xfId="0" applyBorder="1" applyAlignment="1">
      <alignment horizontal="left" vertical="center" wrapText="1"/>
    </xf>
    <xf numFmtId="3" fontId="0" fillId="0" borderId="2" xfId="0" applyNumberFormat="1" applyBorder="1" applyAlignment="1">
      <alignment horizontal="left" vertical="center" wrapText="1"/>
    </xf>
    <xf numFmtId="3" fontId="0" fillId="0" borderId="8" xfId="0" applyNumberFormat="1" applyBorder="1" applyAlignment="1">
      <alignment horizontal="left" vertical="center" wrapText="1"/>
    </xf>
    <xf numFmtId="3" fontId="0" fillId="0" borderId="3" xfId="0" applyNumberFormat="1" applyBorder="1" applyAlignment="1">
      <alignment horizontal="left" vertical="center" wrapText="1"/>
    </xf>
    <xf numFmtId="0" fontId="2" fillId="5" borderId="2" xfId="0" applyFont="1" applyFill="1" applyBorder="1" applyAlignment="1">
      <alignment horizontal="left" vertical="center" wrapText="1"/>
    </xf>
    <xf numFmtId="0" fontId="2" fillId="5" borderId="3" xfId="0" applyFont="1" applyFill="1" applyBorder="1" applyAlignment="1">
      <alignment horizontal="left" vertical="center" wrapText="1"/>
    </xf>
    <xf numFmtId="0" fontId="16" fillId="0" borderId="1" xfId="0" applyFont="1" applyBorder="1" applyAlignment="1">
      <alignment horizontal="center" vertical="center"/>
    </xf>
    <xf numFmtId="0" fontId="2" fillId="6" borderId="2"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0" fillId="0" borderId="15" xfId="0" applyBorder="1" applyAlignment="1">
      <alignment horizontal="left" vertical="center" wrapText="1"/>
    </xf>
    <xf numFmtId="3" fontId="2" fillId="0" borderId="2" xfId="0" applyNumberFormat="1" applyFont="1" applyBorder="1" applyAlignment="1">
      <alignment horizontal="center" vertical="center"/>
    </xf>
    <xf numFmtId="3" fontId="2" fillId="0" borderId="8"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1" xfId="0" applyNumberFormat="1"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CCFF"/>
      <color rgb="FFFFCCCC"/>
      <color rgb="FF66CC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152400</xdr:colOff>
      <xdr:row>10</xdr:row>
      <xdr:rowOff>238124</xdr:rowOff>
    </xdr:from>
    <xdr:to>
      <xdr:col>7</xdr:col>
      <xdr:colOff>990600</xdr:colOff>
      <xdr:row>10</xdr:row>
      <xdr:rowOff>900929</xdr:rowOff>
    </xdr:to>
    <xdr:sp macro="" textlink="">
      <xdr:nvSpPr>
        <xdr:cNvPr id="2" name="TextBox 1">
          <a:extLst>
            <a:ext uri="{FF2B5EF4-FFF2-40B4-BE49-F238E27FC236}">
              <a16:creationId xmlns:a16="http://schemas.microsoft.com/office/drawing/2014/main" id="{61AF606B-4D73-4005-8D75-62BDC7F427A6}"/>
            </a:ext>
          </a:extLst>
        </xdr:cNvPr>
        <xdr:cNvSpPr txBox="1"/>
      </xdr:nvSpPr>
      <xdr:spPr>
        <a:xfrm rot="20769558">
          <a:off x="152400" y="3476624"/>
          <a:ext cx="10325100" cy="662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3600" b="1">
              <a:solidFill>
                <a:srgbClr val="C00000">
                  <a:alpha val="15000"/>
                </a:srgbClr>
              </a:solidFill>
            </a:rPr>
            <a:t>RELEASED BY THE MINISTER OF CONSERVATION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3733802</xdr:colOff>
      <xdr:row>4</xdr:row>
      <xdr:rowOff>809624</xdr:rowOff>
    </xdr:from>
    <xdr:to>
      <xdr:col>22</xdr:col>
      <xdr:colOff>161927</xdr:colOff>
      <xdr:row>5</xdr:row>
      <xdr:rowOff>329429</xdr:rowOff>
    </xdr:to>
    <xdr:sp macro="" textlink="">
      <xdr:nvSpPr>
        <xdr:cNvPr id="2" name="TextBox 1">
          <a:extLst>
            <a:ext uri="{FF2B5EF4-FFF2-40B4-BE49-F238E27FC236}">
              <a16:creationId xmlns:a16="http://schemas.microsoft.com/office/drawing/2014/main" id="{03EA946C-1428-4E49-A3CB-9C5C02C0AD11}"/>
            </a:ext>
          </a:extLst>
        </xdr:cNvPr>
        <xdr:cNvSpPr txBox="1"/>
      </xdr:nvSpPr>
      <xdr:spPr>
        <a:xfrm rot="20769558">
          <a:off x="5800727" y="1762124"/>
          <a:ext cx="10325100" cy="662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3600" b="1">
              <a:solidFill>
                <a:srgbClr val="C00000">
                  <a:alpha val="15000"/>
                </a:srgbClr>
              </a:solidFill>
            </a:rPr>
            <a:t>RELEASED BY THE MINISTER OF CONSERVATION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2114549</xdr:colOff>
      <xdr:row>6</xdr:row>
      <xdr:rowOff>0</xdr:rowOff>
    </xdr:from>
    <xdr:to>
      <xdr:col>18</xdr:col>
      <xdr:colOff>352424</xdr:colOff>
      <xdr:row>7</xdr:row>
      <xdr:rowOff>281805</xdr:rowOff>
    </xdr:to>
    <xdr:sp macro="" textlink="">
      <xdr:nvSpPr>
        <xdr:cNvPr id="2" name="TextBox 1">
          <a:extLst>
            <a:ext uri="{FF2B5EF4-FFF2-40B4-BE49-F238E27FC236}">
              <a16:creationId xmlns:a16="http://schemas.microsoft.com/office/drawing/2014/main" id="{A8525719-1249-4AD3-84F5-0ADE9DDEA0A5}"/>
            </a:ext>
          </a:extLst>
        </xdr:cNvPr>
        <xdr:cNvSpPr txBox="1"/>
      </xdr:nvSpPr>
      <xdr:spPr>
        <a:xfrm rot="20769558">
          <a:off x="6238874" y="1524000"/>
          <a:ext cx="10325100" cy="662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3600" b="1">
              <a:solidFill>
                <a:srgbClr val="C00000">
                  <a:alpha val="15000"/>
                </a:srgbClr>
              </a:solidFill>
            </a:rPr>
            <a:t>RELEASED BY THE MINISTER OF CONSERVATION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3276599</xdr:colOff>
      <xdr:row>11</xdr:row>
      <xdr:rowOff>152400</xdr:rowOff>
    </xdr:from>
    <xdr:to>
      <xdr:col>15</xdr:col>
      <xdr:colOff>409574</xdr:colOff>
      <xdr:row>14</xdr:row>
      <xdr:rowOff>53205</xdr:rowOff>
    </xdr:to>
    <xdr:sp macro="" textlink="">
      <xdr:nvSpPr>
        <xdr:cNvPr id="2" name="TextBox 1">
          <a:extLst>
            <a:ext uri="{FF2B5EF4-FFF2-40B4-BE49-F238E27FC236}">
              <a16:creationId xmlns:a16="http://schemas.microsoft.com/office/drawing/2014/main" id="{2AF8545C-9B81-4C17-BEE9-F78CC9C07675}"/>
            </a:ext>
          </a:extLst>
        </xdr:cNvPr>
        <xdr:cNvSpPr txBox="1"/>
      </xdr:nvSpPr>
      <xdr:spPr>
        <a:xfrm rot="20769558">
          <a:off x="4552949" y="3390900"/>
          <a:ext cx="10325100" cy="662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3600" b="1">
              <a:solidFill>
                <a:srgbClr val="C00000">
                  <a:alpha val="15000"/>
                </a:srgbClr>
              </a:solidFill>
            </a:rPr>
            <a:t>RELEASED BY THE MINISTER OF CONSERVATION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1133475</xdr:colOff>
      <xdr:row>5</xdr:row>
      <xdr:rowOff>342901</xdr:rowOff>
    </xdr:from>
    <xdr:to>
      <xdr:col>12</xdr:col>
      <xdr:colOff>4352925</xdr:colOff>
      <xdr:row>6</xdr:row>
      <xdr:rowOff>53206</xdr:rowOff>
    </xdr:to>
    <xdr:sp macro="" textlink="">
      <xdr:nvSpPr>
        <xdr:cNvPr id="2" name="TextBox 1">
          <a:extLst>
            <a:ext uri="{FF2B5EF4-FFF2-40B4-BE49-F238E27FC236}">
              <a16:creationId xmlns:a16="http://schemas.microsoft.com/office/drawing/2014/main" id="{A277DE55-A469-46CB-8046-7E863832E6E0}"/>
            </a:ext>
          </a:extLst>
        </xdr:cNvPr>
        <xdr:cNvSpPr txBox="1"/>
      </xdr:nvSpPr>
      <xdr:spPr>
        <a:xfrm rot="20769558">
          <a:off x="1504950" y="2438401"/>
          <a:ext cx="10325100" cy="662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3600" b="1">
              <a:solidFill>
                <a:srgbClr val="C00000">
                  <a:alpha val="15000"/>
                </a:srgbClr>
              </a:solidFill>
            </a:rPr>
            <a:t>RELEASED BY THE MINISTER OF CONSERVATION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918445</xdr:colOff>
      <xdr:row>45</xdr:row>
      <xdr:rowOff>21751</xdr:rowOff>
    </xdr:from>
    <xdr:to>
      <xdr:col>11</xdr:col>
      <xdr:colOff>461245</xdr:colOff>
      <xdr:row>48</xdr:row>
      <xdr:rowOff>113056</xdr:rowOff>
    </xdr:to>
    <xdr:sp macro="" textlink="">
      <xdr:nvSpPr>
        <xdr:cNvPr id="2" name="TextBox 1">
          <a:extLst>
            <a:ext uri="{FF2B5EF4-FFF2-40B4-BE49-F238E27FC236}">
              <a16:creationId xmlns:a16="http://schemas.microsoft.com/office/drawing/2014/main" id="{E2718715-E1A6-ECD7-4444-4A65D2566E8D}"/>
            </a:ext>
          </a:extLst>
        </xdr:cNvPr>
        <xdr:cNvSpPr txBox="1"/>
      </xdr:nvSpPr>
      <xdr:spPr>
        <a:xfrm rot="20769558">
          <a:off x="918445" y="6117751"/>
          <a:ext cx="10325100" cy="662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3600" b="1">
              <a:solidFill>
                <a:srgbClr val="C00000">
                  <a:alpha val="15000"/>
                </a:srgbClr>
              </a:solidFill>
            </a:rPr>
            <a:t>RELEASED BY THE MINISTER OF CONSERVATION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23</xdr:row>
      <xdr:rowOff>0</xdr:rowOff>
    </xdr:from>
    <xdr:to>
      <xdr:col>8</xdr:col>
      <xdr:colOff>419100</xdr:colOff>
      <xdr:row>26</xdr:row>
      <xdr:rowOff>91305</xdr:rowOff>
    </xdr:to>
    <xdr:sp macro="" textlink="">
      <xdr:nvSpPr>
        <xdr:cNvPr id="2" name="TextBox 1">
          <a:extLst>
            <a:ext uri="{FF2B5EF4-FFF2-40B4-BE49-F238E27FC236}">
              <a16:creationId xmlns:a16="http://schemas.microsoft.com/office/drawing/2014/main" id="{10AC3099-018C-4CCE-8F86-371DDE9C3BE3}"/>
            </a:ext>
          </a:extLst>
        </xdr:cNvPr>
        <xdr:cNvSpPr txBox="1"/>
      </xdr:nvSpPr>
      <xdr:spPr>
        <a:xfrm rot="20769558">
          <a:off x="2381250" y="4381500"/>
          <a:ext cx="10325100" cy="662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3600" b="1">
              <a:solidFill>
                <a:srgbClr val="C00000">
                  <a:alpha val="15000"/>
                </a:srgbClr>
              </a:solidFill>
            </a:rPr>
            <a:t>RELEASED BY THE MINISTER OF CONSERVATION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194</xdr:row>
      <xdr:rowOff>0</xdr:rowOff>
    </xdr:from>
    <xdr:to>
      <xdr:col>15</xdr:col>
      <xdr:colOff>666750</xdr:colOff>
      <xdr:row>197</xdr:row>
      <xdr:rowOff>91305</xdr:rowOff>
    </xdr:to>
    <xdr:sp macro="" textlink="">
      <xdr:nvSpPr>
        <xdr:cNvPr id="2" name="TextBox 1">
          <a:extLst>
            <a:ext uri="{FF2B5EF4-FFF2-40B4-BE49-F238E27FC236}">
              <a16:creationId xmlns:a16="http://schemas.microsoft.com/office/drawing/2014/main" id="{09A9B4AB-96C0-4E68-90B8-AEF5A9C1D184}"/>
            </a:ext>
          </a:extLst>
        </xdr:cNvPr>
        <xdr:cNvSpPr txBox="1"/>
      </xdr:nvSpPr>
      <xdr:spPr>
        <a:xfrm rot="20769558">
          <a:off x="1714500" y="36957000"/>
          <a:ext cx="10325100" cy="662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3600" b="1">
              <a:solidFill>
                <a:srgbClr val="C00000">
                  <a:alpha val="15000"/>
                </a:srgbClr>
              </a:solidFill>
            </a:rPr>
            <a:t>RELEASED BY THE MINISTER OF CONSERVATION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0</xdr:colOff>
      <xdr:row>207</xdr:row>
      <xdr:rowOff>0</xdr:rowOff>
    </xdr:from>
    <xdr:to>
      <xdr:col>25</xdr:col>
      <xdr:colOff>590550</xdr:colOff>
      <xdr:row>210</xdr:row>
      <xdr:rowOff>91305</xdr:rowOff>
    </xdr:to>
    <xdr:sp macro="" textlink="">
      <xdr:nvSpPr>
        <xdr:cNvPr id="2" name="TextBox 1">
          <a:extLst>
            <a:ext uri="{FF2B5EF4-FFF2-40B4-BE49-F238E27FC236}">
              <a16:creationId xmlns:a16="http://schemas.microsoft.com/office/drawing/2014/main" id="{D2B9F42F-DE99-454D-AA60-5AF3D3CC6BD7}"/>
            </a:ext>
          </a:extLst>
        </xdr:cNvPr>
        <xdr:cNvSpPr txBox="1"/>
      </xdr:nvSpPr>
      <xdr:spPr>
        <a:xfrm rot="20769558">
          <a:off x="15487650" y="39566850"/>
          <a:ext cx="10325100" cy="662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3600" b="1">
              <a:solidFill>
                <a:srgbClr val="C00000">
                  <a:alpha val="15000"/>
                </a:srgbClr>
              </a:solidFill>
            </a:rPr>
            <a:t>RELEASED BY THE MINISTER OF CONSERVATION</a:t>
          </a:r>
        </a:p>
      </xdr:txBody>
    </xdr:sp>
    <xdr:clientData/>
  </xdr:twoCellAnchor>
  <xdr:twoCellAnchor>
    <xdr:from>
      <xdr:col>19</xdr:col>
      <xdr:colOff>152400</xdr:colOff>
      <xdr:row>207</xdr:row>
      <xdr:rowOff>152400</xdr:rowOff>
    </xdr:from>
    <xdr:to>
      <xdr:col>26</xdr:col>
      <xdr:colOff>133350</xdr:colOff>
      <xdr:row>211</xdr:row>
      <xdr:rowOff>53205</xdr:rowOff>
    </xdr:to>
    <xdr:sp macro="" textlink="">
      <xdr:nvSpPr>
        <xdr:cNvPr id="3" name="TextBox 2">
          <a:extLst>
            <a:ext uri="{FF2B5EF4-FFF2-40B4-BE49-F238E27FC236}">
              <a16:creationId xmlns:a16="http://schemas.microsoft.com/office/drawing/2014/main" id="{73589616-289F-44E1-B157-622848A40017}"/>
            </a:ext>
          </a:extLst>
        </xdr:cNvPr>
        <xdr:cNvSpPr txBox="1"/>
      </xdr:nvSpPr>
      <xdr:spPr>
        <a:xfrm rot="20769558">
          <a:off x="15640050" y="39719250"/>
          <a:ext cx="10325100" cy="662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3600" b="1">
              <a:solidFill>
                <a:srgbClr val="C00000">
                  <a:alpha val="15000"/>
                </a:srgbClr>
              </a:solidFill>
            </a:rPr>
            <a:t>RELEASED BY THE MINISTER OF CONSERVATION</a:t>
          </a:r>
        </a:p>
      </xdr:txBody>
    </xdr:sp>
    <xdr:clientData/>
  </xdr:twoCellAnchor>
  <xdr:twoCellAnchor>
    <xdr:from>
      <xdr:col>19</xdr:col>
      <xdr:colOff>304800</xdr:colOff>
      <xdr:row>208</xdr:row>
      <xdr:rowOff>114300</xdr:rowOff>
    </xdr:from>
    <xdr:to>
      <xdr:col>26</xdr:col>
      <xdr:colOff>285750</xdr:colOff>
      <xdr:row>212</xdr:row>
      <xdr:rowOff>15105</xdr:rowOff>
    </xdr:to>
    <xdr:sp macro="" textlink="">
      <xdr:nvSpPr>
        <xdr:cNvPr id="4" name="TextBox 3">
          <a:extLst>
            <a:ext uri="{FF2B5EF4-FFF2-40B4-BE49-F238E27FC236}">
              <a16:creationId xmlns:a16="http://schemas.microsoft.com/office/drawing/2014/main" id="{486E769B-AE0B-48E3-A2B8-10AC9CCE87E0}"/>
            </a:ext>
          </a:extLst>
        </xdr:cNvPr>
        <xdr:cNvSpPr txBox="1"/>
      </xdr:nvSpPr>
      <xdr:spPr>
        <a:xfrm rot="20769558">
          <a:off x="15792450" y="39871650"/>
          <a:ext cx="10325100" cy="662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3600" b="1">
              <a:solidFill>
                <a:srgbClr val="C00000">
                  <a:alpha val="15000"/>
                </a:srgbClr>
              </a:solidFill>
            </a:rPr>
            <a:t>RELEASED BY THE MINISTER OF CONSERVATION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923926</xdr:colOff>
      <xdr:row>14</xdr:row>
      <xdr:rowOff>28575</xdr:rowOff>
    </xdr:from>
    <xdr:to>
      <xdr:col>15</xdr:col>
      <xdr:colOff>171451</xdr:colOff>
      <xdr:row>17</xdr:row>
      <xdr:rowOff>110355</xdr:rowOff>
    </xdr:to>
    <xdr:sp macro="" textlink="">
      <xdr:nvSpPr>
        <xdr:cNvPr id="2" name="TextBox 1">
          <a:extLst>
            <a:ext uri="{FF2B5EF4-FFF2-40B4-BE49-F238E27FC236}">
              <a16:creationId xmlns:a16="http://schemas.microsoft.com/office/drawing/2014/main" id="{83E40DE2-FFFB-442E-A9FB-AD267D428244}"/>
            </a:ext>
          </a:extLst>
        </xdr:cNvPr>
        <xdr:cNvSpPr txBox="1"/>
      </xdr:nvSpPr>
      <xdr:spPr>
        <a:xfrm rot="20769558">
          <a:off x="5276851" y="2705100"/>
          <a:ext cx="10325100" cy="662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3600" b="1">
              <a:solidFill>
                <a:srgbClr val="C00000">
                  <a:alpha val="15000"/>
                </a:srgbClr>
              </a:solidFill>
            </a:rPr>
            <a:t>RELEASED BY THE MINISTER OF CONSERVATION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914401</xdr:colOff>
      <xdr:row>15</xdr:row>
      <xdr:rowOff>152401</xdr:rowOff>
    </xdr:from>
    <xdr:to>
      <xdr:col>20</xdr:col>
      <xdr:colOff>552451</xdr:colOff>
      <xdr:row>19</xdr:row>
      <xdr:rowOff>53206</xdr:rowOff>
    </xdr:to>
    <xdr:sp macro="" textlink="">
      <xdr:nvSpPr>
        <xdr:cNvPr id="2" name="TextBox 1">
          <a:extLst>
            <a:ext uri="{FF2B5EF4-FFF2-40B4-BE49-F238E27FC236}">
              <a16:creationId xmlns:a16="http://schemas.microsoft.com/office/drawing/2014/main" id="{DA0EE177-8DE5-4DE0-BC61-86FD69909359}"/>
            </a:ext>
          </a:extLst>
        </xdr:cNvPr>
        <xdr:cNvSpPr txBox="1"/>
      </xdr:nvSpPr>
      <xdr:spPr>
        <a:xfrm rot="20769558">
          <a:off x="4019551" y="3009901"/>
          <a:ext cx="10325100" cy="662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3600" b="1">
              <a:solidFill>
                <a:srgbClr val="C00000">
                  <a:alpha val="15000"/>
                </a:srgbClr>
              </a:solidFill>
            </a:rPr>
            <a:t>RELEASED BY THE MINISTER OF CONSERVATION</a:t>
          </a:r>
        </a:p>
      </xdr:txBody>
    </xdr:sp>
    <xdr:clientData/>
  </xdr:twoCellAnchor>
</xdr:wsDr>
</file>

<file path=xl/persons/person.xml><?xml version="1.0" encoding="utf-8"?>
<personList xmlns="http://schemas.microsoft.com/office/spreadsheetml/2018/threadedcomments" xmlns:x="http://schemas.openxmlformats.org/spreadsheetml/2006/main">
  <person displayName="Aaron Gabbie" id="{27D7577C-3C13-4CF8-ABA3-FE5FC1771F40}" userId="S::Aaron.Gabbie@martinjenkins.co.nz::3cbc7caf-0c8e-4486-bce2-36c9fb28e64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8" dT="2024-04-23T21:37:49.86" personId="{27D7577C-3C13-4CF8-ABA3-FE5FC1771F40}" id="{BE787158-DC9D-4E42-9965-C065BA664109}">
    <text>Note originally was CCE10 + CCE11</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229AE-17B1-4E15-93BB-50CA0C2AF31D}">
  <sheetPr>
    <pageSetUpPr fitToPage="1"/>
  </sheetPr>
  <dimension ref="A1:V72"/>
  <sheetViews>
    <sheetView workbookViewId="0">
      <selection activeCell="H12" sqref="H12"/>
    </sheetView>
  </sheetViews>
  <sheetFormatPr defaultRowHeight="14.5" x14ac:dyDescent="0.35"/>
  <cols>
    <col min="1" max="1" width="7.453125" style="1" customWidth="1"/>
    <col min="2" max="2" width="27" style="1" customWidth="1"/>
    <col min="3" max="3" width="7.54296875" style="5" bestFit="1" customWidth="1"/>
    <col min="4" max="4" width="12.453125" style="37" customWidth="1"/>
    <col min="5" max="5" width="26" style="14" customWidth="1"/>
    <col min="6" max="6" width="49.81640625" style="65" customWidth="1"/>
    <col min="7" max="7" width="12" style="14" customWidth="1"/>
    <col min="8" max="8" width="52.54296875" style="54" customWidth="1"/>
    <col min="9" max="9" width="12.54296875" style="14" customWidth="1"/>
    <col min="10" max="10" width="53" style="54" customWidth="1"/>
    <col min="11" max="11" width="3" customWidth="1"/>
    <col min="12" max="12" width="53.26953125" style="8" customWidth="1"/>
    <col min="13" max="13" width="66" style="8" customWidth="1"/>
    <col min="14" max="14" width="98.54296875" style="1" customWidth="1"/>
    <col min="15" max="15" width="78" style="25" customWidth="1"/>
  </cols>
  <sheetData>
    <row r="1" spans="1:15" ht="15.5" x14ac:dyDescent="0.35">
      <c r="A1" s="7" t="s">
        <v>0</v>
      </c>
    </row>
    <row r="2" spans="1:15" ht="15.5" x14ac:dyDescent="0.35">
      <c r="A2" s="7"/>
    </row>
    <row r="3" spans="1:15" ht="15.5" x14ac:dyDescent="0.35">
      <c r="A3" s="7" t="s">
        <v>1</v>
      </c>
    </row>
    <row r="4" spans="1:15" x14ac:dyDescent="0.35">
      <c r="A4" s="1" t="s">
        <v>2</v>
      </c>
    </row>
    <row r="5" spans="1:15" hidden="1" x14ac:dyDescent="0.35">
      <c r="A5" s="1" t="s">
        <v>3</v>
      </c>
      <c r="E5" s="15"/>
      <c r="G5" s="15"/>
      <c r="I5" s="15"/>
    </row>
    <row r="7" spans="1:15" s="13" customFormat="1" ht="29" x14ac:dyDescent="0.35">
      <c r="A7" s="39" t="s">
        <v>4</v>
      </c>
      <c r="B7" s="9" t="s">
        <v>5</v>
      </c>
      <c r="C7" s="12" t="s">
        <v>6</v>
      </c>
      <c r="D7" s="12" t="s">
        <v>7</v>
      </c>
      <c r="E7" s="38" t="s">
        <v>8</v>
      </c>
      <c r="F7" s="61" t="s">
        <v>9</v>
      </c>
      <c r="G7" s="21" t="s">
        <v>10</v>
      </c>
      <c r="H7" s="61" t="s">
        <v>11</v>
      </c>
      <c r="I7" s="21" t="s">
        <v>12</v>
      </c>
      <c r="J7" s="61" t="s">
        <v>13</v>
      </c>
      <c r="L7" s="62" t="s">
        <v>14</v>
      </c>
      <c r="M7" s="9" t="s">
        <v>15</v>
      </c>
      <c r="N7" s="26" t="s">
        <v>16</v>
      </c>
      <c r="O7" s="29" t="s">
        <v>17</v>
      </c>
    </row>
    <row r="8" spans="1:15" s="13" customFormat="1" hidden="1" x14ac:dyDescent="0.35">
      <c r="A8" s="32">
        <v>6.1</v>
      </c>
      <c r="B8" s="34" t="s">
        <v>18</v>
      </c>
      <c r="C8" s="41"/>
      <c r="D8" s="41"/>
      <c r="E8" s="33"/>
      <c r="F8" s="66"/>
      <c r="G8" s="33"/>
      <c r="H8" s="55"/>
      <c r="I8" s="33"/>
      <c r="J8" s="55"/>
      <c r="L8" s="34"/>
      <c r="M8" s="34"/>
      <c r="N8" s="35"/>
      <c r="O8" s="36"/>
    </row>
    <row r="9" spans="1:15" ht="43.5" x14ac:dyDescent="0.35">
      <c r="A9" s="40" t="s">
        <v>19</v>
      </c>
      <c r="B9" s="18" t="s">
        <v>20</v>
      </c>
      <c r="C9" s="16">
        <v>500</v>
      </c>
      <c r="D9" s="31" t="s">
        <v>21</v>
      </c>
      <c r="E9" s="17" t="s">
        <v>22</v>
      </c>
      <c r="F9" s="64" t="s">
        <v>23</v>
      </c>
      <c r="G9" s="52"/>
      <c r="H9" s="56" t="s">
        <v>24</v>
      </c>
      <c r="I9" s="52"/>
      <c r="J9" s="56"/>
      <c r="L9" s="8" t="s">
        <v>25</v>
      </c>
      <c r="M9" s="8" t="s">
        <v>26</v>
      </c>
      <c r="N9" s="24" t="s">
        <v>27</v>
      </c>
      <c r="O9" s="27"/>
    </row>
    <row r="10" spans="1:15" ht="87.75" customHeight="1" x14ac:dyDescent="0.35">
      <c r="A10" s="40" t="s">
        <v>28</v>
      </c>
      <c r="B10" s="18" t="s">
        <v>29</v>
      </c>
      <c r="C10" s="16">
        <v>1300</v>
      </c>
      <c r="D10" s="31" t="s">
        <v>30</v>
      </c>
      <c r="E10" s="17" t="s">
        <v>31</v>
      </c>
      <c r="F10" s="64" t="s">
        <v>32</v>
      </c>
      <c r="G10" s="52"/>
      <c r="H10" s="56" t="s">
        <v>33</v>
      </c>
      <c r="I10" s="52"/>
      <c r="J10" s="56" t="s">
        <v>34</v>
      </c>
      <c r="L10" s="8" t="s">
        <v>35</v>
      </c>
      <c r="M10" s="8" t="s">
        <v>36</v>
      </c>
      <c r="N10" s="24" t="s">
        <v>27</v>
      </c>
      <c r="O10" s="27"/>
    </row>
    <row r="11" spans="1:15" ht="78.75" customHeight="1" x14ac:dyDescent="0.35">
      <c r="A11" s="40" t="s">
        <v>37</v>
      </c>
      <c r="B11" s="18" t="s">
        <v>38</v>
      </c>
      <c r="C11" s="16">
        <v>11500</v>
      </c>
      <c r="D11" s="31" t="s">
        <v>39</v>
      </c>
      <c r="E11" s="17" t="s">
        <v>40</v>
      </c>
      <c r="F11" s="64" t="s">
        <v>41</v>
      </c>
      <c r="G11" s="60"/>
      <c r="H11" s="57" t="s">
        <v>42</v>
      </c>
      <c r="I11" s="52"/>
      <c r="J11" s="57" t="s">
        <v>43</v>
      </c>
      <c r="L11" s="8" t="s">
        <v>44</v>
      </c>
      <c r="M11" s="8" t="s">
        <v>45</v>
      </c>
      <c r="N11" s="24" t="s">
        <v>46</v>
      </c>
      <c r="O11" s="27" t="s">
        <v>47</v>
      </c>
    </row>
    <row r="12" spans="1:15" ht="74.25" customHeight="1" x14ac:dyDescent="0.35">
      <c r="A12" s="40" t="s">
        <v>48</v>
      </c>
      <c r="B12" s="18" t="s">
        <v>49</v>
      </c>
      <c r="C12" s="16">
        <f>C11-500</f>
        <v>11000</v>
      </c>
      <c r="D12" s="31" t="s">
        <v>50</v>
      </c>
      <c r="E12" s="17" t="s">
        <v>51</v>
      </c>
      <c r="F12" s="64" t="s">
        <v>41</v>
      </c>
      <c r="G12" s="52"/>
      <c r="H12" s="57" t="s">
        <v>52</v>
      </c>
      <c r="I12" s="52"/>
      <c r="J12" s="57"/>
      <c r="N12" s="24"/>
      <c r="O12" s="27"/>
    </row>
    <row r="13" spans="1:15" ht="43.5" x14ac:dyDescent="0.35">
      <c r="A13" s="40" t="s">
        <v>53</v>
      </c>
      <c r="B13" s="18" t="s">
        <v>54</v>
      </c>
      <c r="C13" s="16">
        <v>1700</v>
      </c>
      <c r="D13" s="31" t="s">
        <v>55</v>
      </c>
      <c r="E13" s="17" t="s">
        <v>56</v>
      </c>
      <c r="F13" s="64"/>
      <c r="G13" s="17"/>
      <c r="H13" s="57"/>
      <c r="I13" s="17"/>
      <c r="J13" s="57"/>
      <c r="L13" s="8" t="s">
        <v>57</v>
      </c>
      <c r="M13" s="8" t="s">
        <v>58</v>
      </c>
      <c r="N13" s="24" t="s">
        <v>59</v>
      </c>
      <c r="O13" s="27" t="s">
        <v>60</v>
      </c>
    </row>
    <row r="14" spans="1:15" ht="29" x14ac:dyDescent="0.35">
      <c r="A14" s="40" t="s">
        <v>61</v>
      </c>
      <c r="B14" s="18" t="s">
        <v>62</v>
      </c>
      <c r="C14" s="16">
        <v>1800</v>
      </c>
      <c r="D14" s="31" t="s">
        <v>63</v>
      </c>
      <c r="E14" s="17" t="s">
        <v>64</v>
      </c>
      <c r="F14" s="64"/>
      <c r="G14" s="17"/>
      <c r="H14" s="57"/>
      <c r="I14" s="17"/>
      <c r="J14" s="57"/>
      <c r="L14" s="8" t="s">
        <v>65</v>
      </c>
      <c r="M14" s="8" t="s">
        <v>66</v>
      </c>
      <c r="N14" s="24" t="s">
        <v>27</v>
      </c>
      <c r="O14" s="27"/>
    </row>
    <row r="15" spans="1:15" x14ac:dyDescent="0.35">
      <c r="A15" s="42">
        <v>6.2</v>
      </c>
      <c r="B15" s="219" t="s">
        <v>67</v>
      </c>
      <c r="C15" s="219"/>
      <c r="D15" s="219"/>
      <c r="E15" s="22"/>
      <c r="F15" s="58"/>
      <c r="G15" s="22"/>
      <c r="H15" s="57"/>
      <c r="I15" s="22"/>
      <c r="J15" s="57"/>
      <c r="N15" s="24"/>
      <c r="O15" s="27"/>
    </row>
    <row r="16" spans="1:15" ht="43.5" x14ac:dyDescent="0.35">
      <c r="A16" s="44" t="s">
        <v>68</v>
      </c>
      <c r="B16" s="18" t="s">
        <v>69</v>
      </c>
      <c r="C16" s="16">
        <f>B24</f>
        <v>64200</v>
      </c>
      <c r="D16" s="31" t="s">
        <v>70</v>
      </c>
      <c r="E16" s="20" t="s">
        <v>71</v>
      </c>
      <c r="F16" s="58"/>
      <c r="G16" s="23"/>
      <c r="H16" s="58"/>
      <c r="I16" s="23"/>
      <c r="J16" s="58"/>
      <c r="L16" s="8" t="s">
        <v>72</v>
      </c>
      <c r="N16" s="24" t="s">
        <v>27</v>
      </c>
      <c r="O16" s="27"/>
    </row>
    <row r="17" spans="1:22" x14ac:dyDescent="0.35">
      <c r="A17" s="44"/>
      <c r="B17" s="220" t="s">
        <v>73</v>
      </c>
      <c r="C17" s="221"/>
      <c r="D17" s="221"/>
      <c r="E17" s="222"/>
      <c r="F17" s="67"/>
      <c r="G17" s="23"/>
      <c r="H17" s="58"/>
      <c r="I17" s="23"/>
      <c r="J17" s="58"/>
      <c r="N17" s="24"/>
      <c r="O17" s="27"/>
    </row>
    <row r="18" spans="1:22" s="1" customFormat="1" ht="84.75" customHeight="1" x14ac:dyDescent="0.35">
      <c r="A18" s="40" t="s">
        <v>74</v>
      </c>
      <c r="B18" s="18" t="s">
        <v>75</v>
      </c>
      <c r="C18" s="16">
        <v>30700</v>
      </c>
      <c r="D18" s="31" t="s">
        <v>76</v>
      </c>
      <c r="E18" s="20" t="s">
        <v>77</v>
      </c>
      <c r="F18" s="64" t="s">
        <v>78</v>
      </c>
      <c r="G18" s="52"/>
      <c r="H18" s="59" t="s">
        <v>79</v>
      </c>
      <c r="I18" s="52"/>
      <c r="J18" s="57" t="s">
        <v>80</v>
      </c>
      <c r="L18" s="8" t="s">
        <v>81</v>
      </c>
      <c r="M18" s="8" t="s">
        <v>82</v>
      </c>
      <c r="N18" s="24" t="s">
        <v>27</v>
      </c>
      <c r="O18" s="27"/>
      <c r="P18"/>
      <c r="Q18"/>
      <c r="R18"/>
      <c r="S18"/>
      <c r="T18"/>
      <c r="U18"/>
      <c r="V18"/>
    </row>
    <row r="19" spans="1:22" s="1" customFormat="1" ht="66.75" customHeight="1" x14ac:dyDescent="0.35">
      <c r="A19" s="40" t="s">
        <v>83</v>
      </c>
      <c r="B19" s="18" t="s">
        <v>84</v>
      </c>
      <c r="C19" s="16">
        <f>41700-30700</f>
        <v>11000</v>
      </c>
      <c r="D19" s="31" t="s">
        <v>85</v>
      </c>
      <c r="E19" s="17" t="s">
        <v>86</v>
      </c>
      <c r="F19" s="64" t="s">
        <v>87</v>
      </c>
      <c r="G19" s="52"/>
      <c r="H19" s="59" t="s">
        <v>88</v>
      </c>
      <c r="I19" s="52"/>
      <c r="J19" s="57" t="s">
        <v>89</v>
      </c>
      <c r="L19" s="8" t="s">
        <v>90</v>
      </c>
      <c r="M19" s="8" t="s">
        <v>91</v>
      </c>
      <c r="N19" s="24" t="s">
        <v>27</v>
      </c>
      <c r="O19" s="27"/>
      <c r="P19"/>
      <c r="Q19"/>
      <c r="R19"/>
      <c r="S19"/>
      <c r="T19"/>
      <c r="U19"/>
      <c r="V19"/>
    </row>
    <row r="20" spans="1:22" s="1" customFormat="1" ht="51.75" customHeight="1" x14ac:dyDescent="0.35">
      <c r="A20" s="40" t="s">
        <v>92</v>
      </c>
      <c r="B20" s="18" t="s">
        <v>93</v>
      </c>
      <c r="C20" s="16">
        <f>49000-41700</f>
        <v>7300</v>
      </c>
      <c r="D20" s="31" t="s">
        <v>85</v>
      </c>
      <c r="E20" s="17" t="s">
        <v>94</v>
      </c>
      <c r="F20" s="64" t="s">
        <v>95</v>
      </c>
      <c r="G20" s="52"/>
      <c r="H20" s="59" t="s">
        <v>96</v>
      </c>
      <c r="I20" s="52"/>
      <c r="J20" s="57" t="s">
        <v>97</v>
      </c>
      <c r="L20" s="8" t="s">
        <v>90</v>
      </c>
      <c r="M20" s="8" t="s">
        <v>91</v>
      </c>
      <c r="N20" s="24" t="s">
        <v>27</v>
      </c>
      <c r="O20" s="27"/>
      <c r="P20"/>
      <c r="Q20"/>
      <c r="R20"/>
      <c r="S20"/>
      <c r="T20"/>
      <c r="U20"/>
      <c r="V20"/>
    </row>
    <row r="21" spans="1:22" s="1" customFormat="1" ht="56.25" customHeight="1" x14ac:dyDescent="0.35">
      <c r="A21" s="40" t="s">
        <v>98</v>
      </c>
      <c r="B21" s="18" t="s">
        <v>99</v>
      </c>
      <c r="C21" s="16">
        <f>55400-49000</f>
        <v>6400</v>
      </c>
      <c r="D21" s="31" t="s">
        <v>85</v>
      </c>
      <c r="E21" s="17" t="s">
        <v>100</v>
      </c>
      <c r="F21" s="64" t="s">
        <v>101</v>
      </c>
      <c r="G21" s="52"/>
      <c r="H21" s="59" t="s">
        <v>102</v>
      </c>
      <c r="I21" s="52"/>
      <c r="J21" s="57" t="s">
        <v>103</v>
      </c>
      <c r="L21" s="8" t="s">
        <v>90</v>
      </c>
      <c r="M21" s="8" t="s">
        <v>91</v>
      </c>
      <c r="N21" s="24" t="s">
        <v>27</v>
      </c>
      <c r="O21" s="27"/>
      <c r="P21"/>
      <c r="Q21"/>
      <c r="R21"/>
      <c r="S21"/>
      <c r="T21"/>
      <c r="U21"/>
      <c r="V21"/>
    </row>
    <row r="22" spans="1:22" s="1" customFormat="1" ht="48" customHeight="1" x14ac:dyDescent="0.35">
      <c r="A22" s="40" t="s">
        <v>104</v>
      </c>
      <c r="B22" s="18" t="s">
        <v>105</v>
      </c>
      <c r="C22" s="16">
        <v>5000</v>
      </c>
      <c r="D22" s="31" t="s">
        <v>106</v>
      </c>
      <c r="E22" s="17" t="s">
        <v>107</v>
      </c>
      <c r="F22" s="64" t="s">
        <v>108</v>
      </c>
      <c r="G22" s="52"/>
      <c r="H22" s="59" t="s">
        <v>109</v>
      </c>
      <c r="I22" s="53"/>
      <c r="J22" s="59" t="s">
        <v>110</v>
      </c>
      <c r="L22" s="8" t="s">
        <v>111</v>
      </c>
      <c r="M22" s="8" t="s">
        <v>112</v>
      </c>
      <c r="N22" s="24" t="s">
        <v>27</v>
      </c>
      <c r="O22" s="27"/>
      <c r="P22"/>
      <c r="Q22"/>
      <c r="R22"/>
      <c r="S22"/>
      <c r="T22"/>
      <c r="U22"/>
      <c r="V22"/>
    </row>
    <row r="23" spans="1:22" s="1" customFormat="1" ht="47.25" customHeight="1" x14ac:dyDescent="0.35">
      <c r="A23" s="40" t="s">
        <v>113</v>
      </c>
      <c r="B23" s="18" t="s">
        <v>114</v>
      </c>
      <c r="C23" s="16">
        <v>3800</v>
      </c>
      <c r="D23" s="31" t="s">
        <v>106</v>
      </c>
      <c r="E23" s="17" t="s">
        <v>115</v>
      </c>
      <c r="F23" s="64" t="s">
        <v>116</v>
      </c>
      <c r="G23" s="52"/>
      <c r="H23" s="59" t="s">
        <v>117</v>
      </c>
      <c r="I23" s="52"/>
      <c r="J23" s="57" t="s">
        <v>118</v>
      </c>
      <c r="L23" s="8" t="s">
        <v>111</v>
      </c>
      <c r="M23" s="8" t="s">
        <v>119</v>
      </c>
      <c r="N23" s="24" t="s">
        <v>27</v>
      </c>
      <c r="O23" s="27"/>
      <c r="P23"/>
      <c r="Q23"/>
      <c r="R23"/>
      <c r="S23"/>
      <c r="T23"/>
      <c r="U23"/>
      <c r="V23"/>
    </row>
    <row r="24" spans="1:22" s="1" customFormat="1" x14ac:dyDescent="0.35">
      <c r="A24" s="45"/>
      <c r="B24" s="19">
        <f>SUM(C18:C23)</f>
        <v>64200</v>
      </c>
      <c r="C24" s="16"/>
      <c r="D24" s="31"/>
      <c r="E24" s="17"/>
      <c r="F24" s="58"/>
      <c r="G24" s="22"/>
      <c r="H24" s="57"/>
      <c r="I24" s="22"/>
      <c r="J24" s="57"/>
      <c r="L24" s="8" t="s">
        <v>120</v>
      </c>
      <c r="M24" s="8"/>
      <c r="N24" s="24"/>
      <c r="O24" s="27"/>
      <c r="P24"/>
      <c r="Q24"/>
      <c r="R24"/>
      <c r="S24"/>
      <c r="T24"/>
      <c r="U24"/>
      <c r="V24"/>
    </row>
    <row r="25" spans="1:22" s="1" customFormat="1" x14ac:dyDescent="0.35">
      <c r="A25" s="45"/>
      <c r="B25" s="223" t="s">
        <v>121</v>
      </c>
      <c r="C25" s="224"/>
      <c r="D25" s="224"/>
      <c r="E25" s="225"/>
      <c r="F25" s="67"/>
      <c r="G25" s="22"/>
      <c r="H25" s="57"/>
      <c r="I25" s="22"/>
      <c r="J25" s="57"/>
      <c r="L25" s="8"/>
      <c r="M25" s="8"/>
      <c r="N25" s="24"/>
      <c r="O25" s="27"/>
      <c r="P25"/>
      <c r="Q25"/>
      <c r="R25"/>
      <c r="S25"/>
      <c r="T25"/>
      <c r="U25"/>
      <c r="V25"/>
    </row>
    <row r="26" spans="1:22" s="1" customFormat="1" ht="87.75" customHeight="1" x14ac:dyDescent="0.35">
      <c r="A26" s="40" t="s">
        <v>122</v>
      </c>
      <c r="B26" s="18" t="s">
        <v>123</v>
      </c>
      <c r="C26" s="16">
        <f>13300+6000+(29700-17700)</f>
        <v>31300</v>
      </c>
      <c r="D26" s="31" t="s">
        <v>70</v>
      </c>
      <c r="E26" s="17" t="s">
        <v>124</v>
      </c>
      <c r="F26" s="64" t="s">
        <v>125</v>
      </c>
      <c r="G26" s="60"/>
      <c r="H26" s="59" t="s">
        <v>126</v>
      </c>
      <c r="I26" s="52"/>
      <c r="J26" s="57" t="s">
        <v>127</v>
      </c>
      <c r="L26" s="8" t="s">
        <v>128</v>
      </c>
      <c r="M26" s="8" t="s">
        <v>91</v>
      </c>
      <c r="N26" s="24" t="s">
        <v>27</v>
      </c>
      <c r="O26" s="27"/>
      <c r="P26"/>
      <c r="Q26" t="s">
        <v>129</v>
      </c>
      <c r="R26"/>
      <c r="S26"/>
      <c r="T26"/>
      <c r="U26"/>
      <c r="V26"/>
    </row>
    <row r="27" spans="1:22" s="1" customFormat="1" x14ac:dyDescent="0.35">
      <c r="A27" s="42">
        <v>6.3</v>
      </c>
      <c r="B27" s="43" t="s">
        <v>130</v>
      </c>
      <c r="C27" s="5"/>
      <c r="D27" s="37"/>
      <c r="E27" s="22"/>
      <c r="F27" s="58"/>
      <c r="G27" s="22"/>
      <c r="H27" s="57"/>
      <c r="I27" s="22"/>
      <c r="J27" s="57"/>
      <c r="L27" s="8"/>
      <c r="M27" s="8"/>
      <c r="N27" s="24"/>
      <c r="O27" s="27"/>
      <c r="P27"/>
      <c r="Q27"/>
      <c r="R27"/>
      <c r="S27"/>
      <c r="T27"/>
      <c r="U27"/>
      <c r="V27"/>
    </row>
    <row r="28" spans="1:22" s="4" customFormat="1" ht="72.5" x14ac:dyDescent="0.35">
      <c r="A28" s="40" t="s">
        <v>131</v>
      </c>
      <c r="B28" s="18" t="s">
        <v>132</v>
      </c>
      <c r="C28" s="16">
        <v>750</v>
      </c>
      <c r="D28" s="31" t="s">
        <v>30</v>
      </c>
      <c r="E28" s="18" t="s">
        <v>133</v>
      </c>
      <c r="F28" s="68" t="s">
        <v>134</v>
      </c>
      <c r="G28" s="52"/>
      <c r="H28" s="59" t="s">
        <v>135</v>
      </c>
      <c r="I28" s="52" t="s">
        <v>68</v>
      </c>
      <c r="J28" s="63" t="s">
        <v>136</v>
      </c>
      <c r="L28" s="59" t="s">
        <v>68</v>
      </c>
      <c r="M28" s="59" t="s">
        <v>137</v>
      </c>
      <c r="N28" s="24" t="s">
        <v>138</v>
      </c>
      <c r="O28" s="27" t="s">
        <v>139</v>
      </c>
      <c r="P28"/>
      <c r="Q28"/>
      <c r="R28"/>
      <c r="S28"/>
      <c r="T28"/>
      <c r="U28"/>
      <c r="V28"/>
    </row>
    <row r="29" spans="1:22" s="4" customFormat="1" ht="116" x14ac:dyDescent="0.35">
      <c r="A29" s="40" t="s">
        <v>140</v>
      </c>
      <c r="B29" s="18" t="s">
        <v>141</v>
      </c>
      <c r="C29" s="16">
        <v>2370</v>
      </c>
      <c r="D29" s="31" t="s">
        <v>142</v>
      </c>
      <c r="E29" s="17" t="s">
        <v>143</v>
      </c>
      <c r="F29" s="64" t="s">
        <v>144</v>
      </c>
      <c r="G29" s="52"/>
      <c r="H29" s="59" t="s">
        <v>145</v>
      </c>
      <c r="I29" s="52"/>
      <c r="J29" s="57"/>
      <c r="L29" s="8" t="s">
        <v>146</v>
      </c>
      <c r="M29" s="8" t="s">
        <v>147</v>
      </c>
      <c r="N29" s="24" t="s">
        <v>148</v>
      </c>
      <c r="O29" s="27" t="s">
        <v>149</v>
      </c>
      <c r="P29"/>
      <c r="Q29"/>
      <c r="R29"/>
      <c r="S29"/>
      <c r="T29"/>
      <c r="U29"/>
      <c r="V29"/>
    </row>
    <row r="30" spans="1:22" s="4" customFormat="1" ht="72.5" x14ac:dyDescent="0.35">
      <c r="A30" s="40" t="s">
        <v>150</v>
      </c>
      <c r="B30" s="18" t="s">
        <v>151</v>
      </c>
      <c r="C30" s="16">
        <v>3200</v>
      </c>
      <c r="D30" s="31" t="s">
        <v>152</v>
      </c>
      <c r="E30" s="18" t="s">
        <v>153</v>
      </c>
      <c r="F30" s="68" t="s">
        <v>154</v>
      </c>
      <c r="G30" s="52"/>
      <c r="H30" s="59" t="s">
        <v>155</v>
      </c>
      <c r="I30" s="53"/>
      <c r="J30" s="57" t="s">
        <v>156</v>
      </c>
      <c r="L30" s="8"/>
      <c r="M30" s="8"/>
      <c r="N30" s="24"/>
      <c r="O30" s="27"/>
      <c r="P30"/>
      <c r="Q30"/>
      <c r="R30"/>
      <c r="S30"/>
      <c r="T30"/>
      <c r="U30"/>
      <c r="V30"/>
    </row>
    <row r="31" spans="1:22" s="4" customFormat="1" ht="130.5" x14ac:dyDescent="0.35">
      <c r="A31" s="40" t="s">
        <v>157</v>
      </c>
      <c r="B31" s="18" t="s">
        <v>158</v>
      </c>
      <c r="C31" s="16">
        <v>330</v>
      </c>
      <c r="D31" s="31" t="s">
        <v>30</v>
      </c>
      <c r="E31" s="17" t="s">
        <v>159</v>
      </c>
      <c r="F31" s="64" t="s">
        <v>160</v>
      </c>
      <c r="G31" s="53"/>
      <c r="H31" s="59" t="s">
        <v>161</v>
      </c>
      <c r="I31" s="52"/>
      <c r="J31" s="57"/>
      <c r="L31" s="8" t="s">
        <v>162</v>
      </c>
      <c r="M31" s="8" t="s">
        <v>163</v>
      </c>
      <c r="N31" s="24" t="s">
        <v>27</v>
      </c>
      <c r="O31" s="27" t="s">
        <v>164</v>
      </c>
      <c r="P31"/>
      <c r="Q31"/>
      <c r="R31"/>
      <c r="S31"/>
      <c r="T31"/>
      <c r="U31"/>
      <c r="V31"/>
    </row>
    <row r="32" spans="1:22" s="4" customFormat="1" ht="116" x14ac:dyDescent="0.35">
      <c r="A32" s="40" t="s">
        <v>165</v>
      </c>
      <c r="B32" s="18" t="s">
        <v>166</v>
      </c>
      <c r="C32" s="16">
        <v>3000</v>
      </c>
      <c r="D32" s="31" t="s">
        <v>55</v>
      </c>
      <c r="E32" s="17" t="s">
        <v>167</v>
      </c>
      <c r="F32" s="64" t="s">
        <v>168</v>
      </c>
      <c r="G32" s="52"/>
      <c r="H32" s="59" t="s">
        <v>169</v>
      </c>
      <c r="I32" s="52"/>
      <c r="J32" s="57" t="s">
        <v>170</v>
      </c>
      <c r="L32" s="8" t="s">
        <v>171</v>
      </c>
      <c r="M32" s="8" t="s">
        <v>172</v>
      </c>
      <c r="N32" s="24" t="s">
        <v>173</v>
      </c>
      <c r="O32" s="27" t="s">
        <v>174</v>
      </c>
      <c r="P32"/>
      <c r="Q32"/>
      <c r="R32"/>
      <c r="S32"/>
      <c r="T32"/>
      <c r="U32"/>
      <c r="V32"/>
    </row>
    <row r="33" spans="1:22" s="4" customFormat="1" ht="72.5" x14ac:dyDescent="0.35">
      <c r="A33" s="40" t="s">
        <v>175</v>
      </c>
      <c r="B33" s="18" t="s">
        <v>176</v>
      </c>
      <c r="C33" s="16">
        <v>17200</v>
      </c>
      <c r="D33" s="31" t="s">
        <v>177</v>
      </c>
      <c r="E33" s="17" t="s">
        <v>178</v>
      </c>
      <c r="F33" s="64" t="s">
        <v>179</v>
      </c>
      <c r="G33" s="53"/>
      <c r="H33" s="59" t="s">
        <v>180</v>
      </c>
      <c r="I33" s="52"/>
      <c r="J33" s="57" t="s">
        <v>181</v>
      </c>
      <c r="L33" s="8" t="s">
        <v>182</v>
      </c>
      <c r="M33" s="8" t="s">
        <v>183</v>
      </c>
      <c r="N33" s="24" t="s">
        <v>184</v>
      </c>
      <c r="O33" s="27" t="s">
        <v>185</v>
      </c>
      <c r="P33"/>
      <c r="Q33"/>
      <c r="R33"/>
      <c r="S33"/>
      <c r="T33"/>
      <c r="U33"/>
      <c r="V33"/>
    </row>
    <row r="34" spans="1:22" s="4" customFormat="1" ht="58" x14ac:dyDescent="0.35">
      <c r="A34" s="40" t="s">
        <v>186</v>
      </c>
      <c r="B34" s="18" t="s">
        <v>176</v>
      </c>
      <c r="C34" s="16">
        <v>17200</v>
      </c>
      <c r="D34" s="31" t="s">
        <v>187</v>
      </c>
      <c r="E34" s="17" t="s">
        <v>178</v>
      </c>
      <c r="F34" s="64" t="s">
        <v>179</v>
      </c>
      <c r="G34" s="52"/>
      <c r="H34" s="59" t="s">
        <v>188</v>
      </c>
      <c r="I34" s="52"/>
      <c r="J34" s="57"/>
      <c r="L34" s="8"/>
      <c r="M34" s="8"/>
      <c r="N34" s="24"/>
      <c r="O34" s="27"/>
      <c r="P34"/>
      <c r="Q34"/>
      <c r="R34"/>
      <c r="S34"/>
      <c r="T34"/>
      <c r="U34"/>
      <c r="V34"/>
    </row>
    <row r="35" spans="1:22" s="4" customFormat="1" ht="72.5" x14ac:dyDescent="0.35">
      <c r="A35" s="40" t="s">
        <v>189</v>
      </c>
      <c r="B35" s="18" t="s">
        <v>190</v>
      </c>
      <c r="C35" s="16">
        <f>5700+2800</f>
        <v>8500</v>
      </c>
      <c r="D35" s="31" t="s">
        <v>55</v>
      </c>
      <c r="E35" s="121" t="s">
        <v>191</v>
      </c>
      <c r="F35" s="64" t="s">
        <v>192</v>
      </c>
      <c r="G35" s="52"/>
      <c r="H35" s="59" t="s">
        <v>193</v>
      </c>
      <c r="I35" s="52"/>
      <c r="J35" s="57" t="s">
        <v>194</v>
      </c>
      <c r="L35" s="8"/>
      <c r="M35" s="8"/>
      <c r="N35" s="24"/>
      <c r="O35" s="27"/>
      <c r="P35"/>
      <c r="Q35"/>
      <c r="R35"/>
      <c r="S35"/>
      <c r="T35"/>
      <c r="U35"/>
      <c r="V35"/>
    </row>
    <row r="36" spans="1:22" s="4" customFormat="1" ht="58" x14ac:dyDescent="0.35">
      <c r="A36" s="40" t="s">
        <v>195</v>
      </c>
      <c r="B36" s="18" t="s">
        <v>196</v>
      </c>
      <c r="C36" s="16">
        <v>2700</v>
      </c>
      <c r="D36" s="31" t="s">
        <v>177</v>
      </c>
      <c r="E36" s="17" t="s">
        <v>197</v>
      </c>
      <c r="F36" s="64" t="s">
        <v>198</v>
      </c>
      <c r="G36" s="52"/>
      <c r="H36" s="59" t="s">
        <v>199</v>
      </c>
      <c r="I36" s="52"/>
      <c r="J36" s="57"/>
      <c r="L36" s="8"/>
      <c r="M36" s="8"/>
      <c r="N36" s="24"/>
      <c r="O36" s="27"/>
      <c r="P36"/>
      <c r="Q36"/>
      <c r="R36"/>
      <c r="S36"/>
      <c r="T36"/>
      <c r="U36"/>
      <c r="V36"/>
    </row>
    <row r="37" spans="1:22" s="4" customFormat="1" ht="43.5" x14ac:dyDescent="0.35">
      <c r="A37" s="40" t="s">
        <v>200</v>
      </c>
      <c r="B37" s="18" t="s">
        <v>201</v>
      </c>
      <c r="C37" s="16">
        <v>3200</v>
      </c>
      <c r="D37" s="31" t="s">
        <v>177</v>
      </c>
      <c r="E37" s="17" t="s">
        <v>202</v>
      </c>
      <c r="F37" s="64"/>
      <c r="G37" s="52"/>
      <c r="H37" s="59"/>
      <c r="I37" s="52"/>
      <c r="J37" s="57"/>
      <c r="L37" s="8"/>
      <c r="M37" s="8"/>
      <c r="N37" s="24"/>
      <c r="O37" s="27"/>
      <c r="P37"/>
      <c r="Q37"/>
      <c r="R37"/>
      <c r="S37"/>
      <c r="T37"/>
      <c r="U37"/>
      <c r="V37"/>
    </row>
    <row r="38" spans="1:22" s="4" customFormat="1" x14ac:dyDescent="0.35">
      <c r="A38" s="42">
        <v>6.4</v>
      </c>
      <c r="B38" s="43" t="s">
        <v>203</v>
      </c>
      <c r="C38" s="5"/>
      <c r="D38" s="37"/>
      <c r="E38" s="22"/>
      <c r="F38" s="58"/>
      <c r="G38" s="22"/>
      <c r="H38" s="57"/>
      <c r="I38" s="22"/>
      <c r="J38" s="57"/>
      <c r="L38" s="8"/>
      <c r="M38" s="8"/>
      <c r="N38" s="24"/>
      <c r="O38" s="27"/>
      <c r="P38"/>
      <c r="Q38"/>
      <c r="R38"/>
      <c r="S38"/>
      <c r="T38"/>
      <c r="U38"/>
      <c r="V38"/>
    </row>
    <row r="39" spans="1:22" s="4" customFormat="1" ht="116" x14ac:dyDescent="0.35">
      <c r="A39" s="40" t="s">
        <v>204</v>
      </c>
      <c r="B39" s="18" t="s">
        <v>205</v>
      </c>
      <c r="C39" s="16">
        <f>560+1280</f>
        <v>1840</v>
      </c>
      <c r="D39" s="31" t="s">
        <v>30</v>
      </c>
      <c r="E39" s="17" t="s">
        <v>206</v>
      </c>
      <c r="F39" s="64" t="s">
        <v>207</v>
      </c>
      <c r="G39" s="52"/>
      <c r="H39" s="59" t="s">
        <v>208</v>
      </c>
      <c r="I39" s="52"/>
      <c r="J39" s="59" t="s">
        <v>209</v>
      </c>
      <c r="L39" s="8" t="s">
        <v>210</v>
      </c>
      <c r="M39" s="8" t="s">
        <v>211</v>
      </c>
      <c r="N39" s="24" t="s">
        <v>212</v>
      </c>
      <c r="O39" s="27" t="s">
        <v>213</v>
      </c>
      <c r="P39"/>
      <c r="Q39"/>
      <c r="R39"/>
      <c r="S39"/>
      <c r="T39"/>
      <c r="U39"/>
      <c r="V39"/>
    </row>
    <row r="40" spans="1:22" s="4" customFormat="1" ht="72.5" x14ac:dyDescent="0.35">
      <c r="A40" s="40" t="s">
        <v>214</v>
      </c>
      <c r="B40" s="18" t="s">
        <v>215</v>
      </c>
      <c r="C40" s="16">
        <v>3200</v>
      </c>
      <c r="D40" s="31" t="s">
        <v>216</v>
      </c>
      <c r="E40" s="17" t="s">
        <v>217</v>
      </c>
      <c r="F40" s="64" t="s">
        <v>218</v>
      </c>
      <c r="G40" s="52"/>
      <c r="H40" s="59" t="s">
        <v>219</v>
      </c>
      <c r="I40" s="53"/>
      <c r="J40" s="59" t="s">
        <v>220</v>
      </c>
      <c r="L40" s="8" t="s">
        <v>221</v>
      </c>
      <c r="M40" s="8" t="s">
        <v>222</v>
      </c>
      <c r="N40" s="24" t="s">
        <v>27</v>
      </c>
      <c r="O40" s="27"/>
      <c r="P40"/>
      <c r="Q40"/>
      <c r="R40"/>
      <c r="S40"/>
      <c r="T40"/>
      <c r="U40"/>
      <c r="V40"/>
    </row>
    <row r="41" spans="1:22" s="4" customFormat="1" ht="58" x14ac:dyDescent="0.35">
      <c r="A41" s="46" t="s">
        <v>223</v>
      </c>
      <c r="B41" s="18" t="s">
        <v>224</v>
      </c>
      <c r="C41" s="16">
        <v>2350</v>
      </c>
      <c r="D41" s="31" t="s">
        <v>216</v>
      </c>
      <c r="E41" s="17" t="s">
        <v>225</v>
      </c>
      <c r="F41" s="64" t="s">
        <v>226</v>
      </c>
      <c r="G41" s="52"/>
      <c r="H41" s="59" t="s">
        <v>227</v>
      </c>
      <c r="I41" s="52"/>
      <c r="J41" s="59" t="s">
        <v>228</v>
      </c>
      <c r="L41" s="8" t="s">
        <v>229</v>
      </c>
      <c r="M41" s="8" t="s">
        <v>230</v>
      </c>
      <c r="N41" s="24" t="s">
        <v>27</v>
      </c>
      <c r="O41" s="27"/>
      <c r="P41"/>
      <c r="Q41"/>
      <c r="R41"/>
      <c r="S41"/>
      <c r="T41"/>
      <c r="U41"/>
      <c r="V41"/>
    </row>
    <row r="42" spans="1:22" s="4" customFormat="1" ht="87" x14ac:dyDescent="0.35">
      <c r="A42" s="40" t="s">
        <v>231</v>
      </c>
      <c r="B42" s="122" t="s">
        <v>232</v>
      </c>
      <c r="C42" s="16">
        <v>350</v>
      </c>
      <c r="D42" s="31" t="s">
        <v>30</v>
      </c>
      <c r="E42" s="17" t="s">
        <v>233</v>
      </c>
      <c r="F42" s="64" t="s">
        <v>234</v>
      </c>
      <c r="G42" s="52"/>
      <c r="H42" s="59" t="s">
        <v>235</v>
      </c>
      <c r="I42" s="52"/>
      <c r="J42" s="59" t="s">
        <v>236</v>
      </c>
      <c r="L42" s="8" t="s">
        <v>237</v>
      </c>
      <c r="M42" s="8" t="s">
        <v>238</v>
      </c>
      <c r="N42" s="24" t="s">
        <v>239</v>
      </c>
      <c r="O42" s="27" t="s">
        <v>240</v>
      </c>
      <c r="P42"/>
      <c r="Q42"/>
      <c r="R42"/>
      <c r="S42"/>
      <c r="T42"/>
      <c r="U42"/>
      <c r="V42"/>
    </row>
    <row r="43" spans="1:22" s="4" customFormat="1" ht="130.5" x14ac:dyDescent="0.35">
      <c r="A43" s="40" t="s">
        <v>241</v>
      </c>
      <c r="B43" s="18" t="s">
        <v>242</v>
      </c>
      <c r="C43" s="16">
        <f>850+120</f>
        <v>970</v>
      </c>
      <c r="D43" s="31" t="s">
        <v>243</v>
      </c>
      <c r="E43" s="17" t="s">
        <v>244</v>
      </c>
      <c r="F43" s="64" t="s">
        <v>245</v>
      </c>
      <c r="G43" s="60"/>
      <c r="H43" s="59" t="s">
        <v>246</v>
      </c>
      <c r="I43" s="52"/>
      <c r="J43" s="57" t="s">
        <v>247</v>
      </c>
      <c r="L43" s="8" t="s">
        <v>248</v>
      </c>
      <c r="M43" s="8" t="s">
        <v>249</v>
      </c>
      <c r="N43" s="24" t="s">
        <v>250</v>
      </c>
      <c r="O43" s="27" t="s">
        <v>251</v>
      </c>
      <c r="P43"/>
      <c r="Q43"/>
      <c r="R43"/>
      <c r="S43"/>
      <c r="T43"/>
      <c r="U43"/>
      <c r="V43"/>
    </row>
    <row r="44" spans="1:22" s="4" customFormat="1" ht="72.5" x14ac:dyDescent="0.35">
      <c r="A44" s="40"/>
      <c r="B44" s="18" t="s">
        <v>252</v>
      </c>
      <c r="C44" s="16">
        <f>170+120</f>
        <v>290</v>
      </c>
      <c r="D44" s="31" t="s">
        <v>30</v>
      </c>
      <c r="E44" s="17"/>
      <c r="F44" s="64" t="s">
        <v>253</v>
      </c>
      <c r="G44" s="52"/>
      <c r="H44" s="59" t="s">
        <v>254</v>
      </c>
      <c r="I44" s="52"/>
      <c r="J44" s="57" t="s">
        <v>255</v>
      </c>
      <c r="L44" s="8"/>
      <c r="M44" s="8"/>
      <c r="N44" s="24"/>
      <c r="O44" s="27"/>
      <c r="P44"/>
      <c r="Q44"/>
      <c r="R44"/>
      <c r="S44"/>
      <c r="T44"/>
      <c r="U44"/>
      <c r="V44"/>
    </row>
    <row r="45" spans="1:22" s="4" customFormat="1" ht="116" x14ac:dyDescent="0.35">
      <c r="A45" s="40" t="s">
        <v>256</v>
      </c>
      <c r="B45" s="18" t="s">
        <v>257</v>
      </c>
      <c r="C45" s="16">
        <f>Cost!D363</f>
        <v>2100</v>
      </c>
      <c r="D45" s="31" t="s">
        <v>30</v>
      </c>
      <c r="E45" s="17" t="s">
        <v>258</v>
      </c>
      <c r="F45" s="64" t="s">
        <v>259</v>
      </c>
      <c r="G45" s="52"/>
      <c r="H45" s="59" t="s">
        <v>260</v>
      </c>
      <c r="I45" s="52"/>
      <c r="J45" s="57" t="s">
        <v>261</v>
      </c>
      <c r="L45" s="8" t="s">
        <v>262</v>
      </c>
      <c r="M45" s="8" t="s">
        <v>263</v>
      </c>
      <c r="N45" s="30" t="s">
        <v>212</v>
      </c>
      <c r="O45" s="28" t="s">
        <v>264</v>
      </c>
      <c r="P45"/>
      <c r="Q45"/>
      <c r="R45"/>
      <c r="S45"/>
      <c r="T45"/>
      <c r="U45"/>
      <c r="V45"/>
    </row>
    <row r="46" spans="1:22" s="4" customFormat="1" ht="15" thickBot="1" x14ac:dyDescent="0.4">
      <c r="A46" s="47"/>
      <c r="B46" s="48" t="s">
        <v>265</v>
      </c>
      <c r="C46" s="49">
        <f>SUM(C9:C11)+C16+SUM(C26:C45)</f>
        <v>178350</v>
      </c>
      <c r="D46" s="50" t="s">
        <v>266</v>
      </c>
      <c r="E46" s="17"/>
      <c r="F46" s="58"/>
      <c r="G46" s="22"/>
      <c r="H46" s="57"/>
      <c r="I46" s="22"/>
      <c r="J46" s="57"/>
      <c r="L46" s="8" t="s">
        <v>267</v>
      </c>
      <c r="M46" s="8"/>
      <c r="N46" s="1"/>
      <c r="O46" s="25"/>
      <c r="P46"/>
      <c r="Q46"/>
      <c r="R46"/>
      <c r="S46"/>
      <c r="T46"/>
      <c r="U46"/>
      <c r="V46"/>
    </row>
    <row r="47" spans="1:22" s="4" customFormat="1" ht="15" thickTop="1" x14ac:dyDescent="0.35">
      <c r="A47" s="2"/>
      <c r="B47" s="6"/>
      <c r="C47" s="5"/>
      <c r="D47" s="37"/>
      <c r="E47" s="14"/>
      <c r="F47" s="65"/>
      <c r="G47" s="14"/>
      <c r="H47" s="54"/>
      <c r="I47" s="14"/>
      <c r="J47" s="54"/>
      <c r="L47" s="8"/>
      <c r="M47" s="8"/>
      <c r="N47" s="1"/>
      <c r="O47" s="25"/>
      <c r="P47"/>
      <c r="Q47"/>
      <c r="R47"/>
      <c r="S47"/>
      <c r="T47"/>
      <c r="U47"/>
      <c r="V47"/>
    </row>
    <row r="48" spans="1:22" s="4" customFormat="1" x14ac:dyDescent="0.35">
      <c r="A48" s="2"/>
      <c r="B48" s="10"/>
      <c r="C48" s="5"/>
      <c r="D48" s="37"/>
      <c r="E48" s="14"/>
      <c r="F48" s="65"/>
      <c r="G48" s="14"/>
      <c r="H48" s="54"/>
      <c r="I48" s="14"/>
      <c r="J48" s="54"/>
      <c r="L48" s="8"/>
      <c r="M48" s="8"/>
      <c r="N48" s="1"/>
      <c r="O48" s="25"/>
      <c r="P48"/>
      <c r="Q48"/>
      <c r="R48"/>
      <c r="S48"/>
      <c r="T48"/>
      <c r="U48"/>
      <c r="V48"/>
    </row>
    <row r="49" spans="1:22" s="4" customFormat="1" x14ac:dyDescent="0.35">
      <c r="A49" s="2"/>
      <c r="B49" s="11"/>
      <c r="C49" s="5"/>
      <c r="D49" s="37"/>
      <c r="E49" s="14"/>
      <c r="F49" s="65"/>
      <c r="G49" s="14"/>
      <c r="H49" s="54"/>
      <c r="I49" s="14"/>
      <c r="J49" s="54"/>
      <c r="L49" s="8"/>
      <c r="M49" s="8"/>
      <c r="N49" s="1"/>
      <c r="O49" s="25"/>
      <c r="P49"/>
      <c r="Q49"/>
      <c r="R49"/>
      <c r="S49"/>
      <c r="T49"/>
      <c r="U49"/>
      <c r="V49"/>
    </row>
    <row r="50" spans="1:22" s="8" customFormat="1" x14ac:dyDescent="0.35">
      <c r="A50" s="2"/>
      <c r="B50" s="11"/>
      <c r="C50" s="5"/>
      <c r="D50" s="37"/>
      <c r="E50" s="14"/>
      <c r="F50" s="65"/>
      <c r="G50" s="14"/>
      <c r="H50" s="54"/>
      <c r="I50" s="14"/>
      <c r="J50" s="54"/>
      <c r="N50" s="1"/>
      <c r="O50" s="25"/>
      <c r="P50"/>
      <c r="Q50"/>
      <c r="R50"/>
      <c r="S50"/>
      <c r="T50"/>
      <c r="U50"/>
      <c r="V50"/>
    </row>
    <row r="51" spans="1:22" s="8" customFormat="1" x14ac:dyDescent="0.35">
      <c r="A51" s="2"/>
      <c r="B51" s="11"/>
      <c r="C51" s="5"/>
      <c r="D51" s="37"/>
      <c r="E51" s="14"/>
      <c r="F51" s="65"/>
      <c r="G51" s="14"/>
      <c r="H51" s="54"/>
      <c r="I51" s="14"/>
      <c r="J51" s="54"/>
      <c r="N51" s="1"/>
      <c r="O51" s="25"/>
      <c r="P51"/>
      <c r="Q51"/>
      <c r="R51"/>
      <c r="S51"/>
      <c r="T51"/>
      <c r="U51"/>
      <c r="V51"/>
    </row>
    <row r="52" spans="1:22" s="8" customFormat="1" x14ac:dyDescent="0.35">
      <c r="A52" s="2"/>
      <c r="B52" s="6"/>
      <c r="C52" s="5"/>
      <c r="D52" s="37"/>
      <c r="E52" s="14"/>
      <c r="F52" s="65"/>
      <c r="G52" s="14"/>
      <c r="H52" s="54"/>
      <c r="I52" s="14"/>
      <c r="J52" s="54"/>
      <c r="N52" s="1"/>
      <c r="O52" s="25"/>
      <c r="P52"/>
      <c r="Q52"/>
      <c r="R52"/>
      <c r="S52"/>
      <c r="T52"/>
      <c r="U52"/>
      <c r="V52"/>
    </row>
    <row r="53" spans="1:22" s="8" customFormat="1" x14ac:dyDescent="0.35">
      <c r="A53" s="2"/>
      <c r="B53" s="1"/>
      <c r="C53" s="5"/>
      <c r="D53" s="37"/>
      <c r="E53" s="14"/>
      <c r="F53" s="65"/>
      <c r="G53" s="14"/>
      <c r="H53" s="54"/>
      <c r="I53" s="14"/>
      <c r="J53" s="54"/>
      <c r="N53" s="1"/>
      <c r="O53" s="25"/>
      <c r="P53"/>
      <c r="Q53"/>
      <c r="R53"/>
      <c r="S53"/>
      <c r="T53"/>
      <c r="U53"/>
      <c r="V53"/>
    </row>
    <row r="54" spans="1:22" s="8" customFormat="1" x14ac:dyDescent="0.35">
      <c r="A54" s="3"/>
      <c r="C54" s="5"/>
      <c r="D54" s="37"/>
      <c r="E54" s="14"/>
      <c r="F54" s="65"/>
      <c r="G54" s="14"/>
      <c r="H54" s="54"/>
      <c r="I54" s="14"/>
      <c r="J54" s="54"/>
      <c r="N54" s="1"/>
      <c r="O54" s="25"/>
      <c r="P54"/>
      <c r="Q54"/>
      <c r="R54"/>
      <c r="S54"/>
      <c r="T54"/>
      <c r="U54"/>
      <c r="V54"/>
    </row>
    <row r="55" spans="1:22" s="8" customFormat="1" x14ac:dyDescent="0.35">
      <c r="A55" s="3"/>
      <c r="C55" s="5"/>
      <c r="D55" s="37"/>
      <c r="E55" s="14"/>
      <c r="F55" s="65"/>
      <c r="G55" s="14"/>
      <c r="H55" s="54"/>
      <c r="I55" s="14"/>
      <c r="J55" s="54"/>
      <c r="N55" s="1"/>
      <c r="O55" s="25"/>
      <c r="P55"/>
      <c r="Q55"/>
      <c r="R55"/>
      <c r="S55"/>
      <c r="T55"/>
      <c r="U55"/>
      <c r="V55"/>
    </row>
    <row r="56" spans="1:22" s="8" customFormat="1" x14ac:dyDescent="0.35">
      <c r="A56" s="3"/>
      <c r="B56" s="1"/>
      <c r="C56" s="5"/>
      <c r="D56" s="37"/>
      <c r="E56" s="14"/>
      <c r="F56" s="65"/>
      <c r="G56" s="14"/>
      <c r="H56" s="54"/>
      <c r="I56" s="14"/>
      <c r="J56" s="54"/>
      <c r="N56" s="1"/>
      <c r="O56" s="25"/>
      <c r="P56"/>
      <c r="Q56"/>
      <c r="R56"/>
      <c r="S56"/>
      <c r="T56"/>
      <c r="U56"/>
      <c r="V56"/>
    </row>
    <row r="57" spans="1:22" s="8" customFormat="1" x14ac:dyDescent="0.35">
      <c r="A57" s="3"/>
      <c r="B57" s="1"/>
      <c r="C57" s="5"/>
      <c r="D57" s="37"/>
      <c r="E57" s="14"/>
      <c r="F57" s="65"/>
      <c r="G57" s="14"/>
      <c r="H57" s="54"/>
      <c r="I57" s="14"/>
      <c r="J57" s="54"/>
      <c r="N57" s="1"/>
      <c r="O57" s="25"/>
      <c r="P57"/>
      <c r="Q57"/>
      <c r="R57"/>
      <c r="S57"/>
      <c r="T57"/>
      <c r="U57"/>
      <c r="V57"/>
    </row>
    <row r="58" spans="1:22" s="8" customFormat="1" x14ac:dyDescent="0.35">
      <c r="A58" s="2"/>
      <c r="B58" s="1"/>
      <c r="C58" s="5"/>
      <c r="D58" s="37"/>
      <c r="E58" s="14"/>
      <c r="F58" s="65"/>
      <c r="G58" s="14"/>
      <c r="H58" s="54"/>
      <c r="I58" s="14"/>
      <c r="J58" s="54"/>
      <c r="N58" s="1"/>
      <c r="O58" s="25"/>
      <c r="P58"/>
      <c r="Q58"/>
      <c r="R58"/>
      <c r="S58"/>
      <c r="T58"/>
      <c r="U58"/>
      <c r="V58"/>
    </row>
    <row r="59" spans="1:22" s="8" customFormat="1" x14ac:dyDescent="0.35">
      <c r="A59" s="2"/>
      <c r="B59" s="1"/>
      <c r="C59" s="5"/>
      <c r="D59" s="37"/>
      <c r="E59" s="14"/>
      <c r="F59" s="65"/>
      <c r="G59" s="14"/>
      <c r="H59" s="54"/>
      <c r="I59" s="14"/>
      <c r="J59" s="54"/>
      <c r="N59" s="1"/>
      <c r="O59" s="25"/>
      <c r="P59"/>
      <c r="Q59"/>
      <c r="R59"/>
      <c r="S59"/>
      <c r="T59"/>
      <c r="U59"/>
      <c r="V59"/>
    </row>
    <row r="60" spans="1:22" s="8" customFormat="1" x14ac:dyDescent="0.35">
      <c r="A60" s="2"/>
      <c r="B60" s="1"/>
      <c r="C60" s="5"/>
      <c r="D60" s="37"/>
      <c r="E60" s="14"/>
      <c r="F60" s="65"/>
      <c r="G60" s="14"/>
      <c r="H60" s="54"/>
      <c r="I60" s="14"/>
      <c r="J60" s="54"/>
      <c r="N60" s="1"/>
      <c r="O60" s="25"/>
      <c r="P60"/>
      <c r="Q60"/>
      <c r="R60"/>
      <c r="S60"/>
      <c r="T60"/>
      <c r="U60"/>
      <c r="V60"/>
    </row>
    <row r="61" spans="1:22" s="8" customFormat="1" x14ac:dyDescent="0.35">
      <c r="A61" s="2"/>
      <c r="B61" s="1"/>
      <c r="C61" s="5"/>
      <c r="D61" s="37"/>
      <c r="E61" s="14"/>
      <c r="F61" s="65"/>
      <c r="G61" s="14"/>
      <c r="H61" s="54"/>
      <c r="I61" s="14"/>
      <c r="J61" s="54"/>
      <c r="N61" s="1"/>
      <c r="O61" s="25"/>
      <c r="P61"/>
      <c r="Q61"/>
      <c r="R61"/>
      <c r="S61"/>
      <c r="T61"/>
      <c r="U61"/>
      <c r="V61"/>
    </row>
    <row r="62" spans="1:22" s="8" customFormat="1" x14ac:dyDescent="0.35">
      <c r="A62" s="2"/>
      <c r="B62" s="1"/>
      <c r="C62" s="5"/>
      <c r="D62" s="37"/>
      <c r="E62" s="14"/>
      <c r="F62" s="65"/>
      <c r="G62" s="14"/>
      <c r="H62" s="54"/>
      <c r="I62" s="14"/>
      <c r="J62" s="54"/>
      <c r="N62" s="1"/>
      <c r="O62" s="25"/>
      <c r="P62"/>
      <c r="Q62"/>
      <c r="R62"/>
      <c r="S62"/>
      <c r="T62"/>
      <c r="U62"/>
      <c r="V62"/>
    </row>
    <row r="63" spans="1:22" s="8" customFormat="1" x14ac:dyDescent="0.35">
      <c r="A63" s="2"/>
      <c r="B63" s="1"/>
      <c r="C63" s="5"/>
      <c r="D63" s="37"/>
      <c r="E63" s="14"/>
      <c r="F63" s="65"/>
      <c r="G63" s="14"/>
      <c r="H63" s="54"/>
      <c r="I63" s="14"/>
      <c r="J63" s="54"/>
      <c r="N63" s="1"/>
      <c r="O63" s="25"/>
      <c r="P63"/>
      <c r="Q63"/>
      <c r="R63"/>
      <c r="S63"/>
      <c r="T63"/>
      <c r="U63"/>
      <c r="V63"/>
    </row>
    <row r="64" spans="1:22" s="8" customFormat="1" x14ac:dyDescent="0.35">
      <c r="A64" s="2"/>
      <c r="B64" s="1"/>
      <c r="C64" s="5"/>
      <c r="D64" s="37"/>
      <c r="E64" s="14"/>
      <c r="F64" s="65"/>
      <c r="G64" s="14"/>
      <c r="H64" s="54"/>
      <c r="I64" s="14"/>
      <c r="J64" s="54"/>
      <c r="N64" s="1"/>
      <c r="O64" s="25"/>
      <c r="P64"/>
      <c r="Q64"/>
      <c r="R64"/>
      <c r="S64"/>
      <c r="T64"/>
      <c r="U64"/>
      <c r="V64"/>
    </row>
    <row r="65" spans="1:22" s="8" customFormat="1" x14ac:dyDescent="0.35">
      <c r="A65" s="2"/>
      <c r="B65" s="1"/>
      <c r="C65" s="5"/>
      <c r="D65" s="37"/>
      <c r="E65" s="14"/>
      <c r="F65" s="65"/>
      <c r="G65" s="14"/>
      <c r="H65" s="54"/>
      <c r="I65" s="14"/>
      <c r="J65" s="54"/>
      <c r="N65" s="1"/>
      <c r="O65" s="25"/>
      <c r="P65"/>
      <c r="Q65"/>
      <c r="R65"/>
      <c r="S65"/>
      <c r="T65"/>
      <c r="U65"/>
      <c r="V65"/>
    </row>
    <row r="66" spans="1:22" s="4" customFormat="1" x14ac:dyDescent="0.35">
      <c r="A66" s="2"/>
      <c r="B66" s="1"/>
      <c r="C66" s="5"/>
      <c r="D66" s="37"/>
      <c r="E66" s="14"/>
      <c r="F66" s="65"/>
      <c r="G66" s="14"/>
      <c r="H66" s="54"/>
      <c r="I66" s="14"/>
      <c r="J66" s="54"/>
      <c r="L66" s="8"/>
      <c r="M66" s="8"/>
      <c r="N66" s="1"/>
      <c r="O66" s="25"/>
      <c r="P66"/>
      <c r="Q66"/>
      <c r="R66"/>
      <c r="S66"/>
      <c r="T66"/>
      <c r="U66"/>
      <c r="V66"/>
    </row>
    <row r="67" spans="1:22" s="4" customFormat="1" x14ac:dyDescent="0.35">
      <c r="A67" s="2"/>
      <c r="B67" s="6"/>
      <c r="C67" s="5"/>
      <c r="D67" s="37"/>
      <c r="E67" s="14"/>
      <c r="F67" s="65"/>
      <c r="G67" s="14"/>
      <c r="H67" s="54"/>
      <c r="I67" s="14"/>
      <c r="J67" s="54"/>
      <c r="L67" s="8"/>
      <c r="M67" s="8"/>
      <c r="N67" s="1"/>
      <c r="O67" s="25"/>
      <c r="P67"/>
      <c r="Q67"/>
      <c r="R67"/>
      <c r="S67"/>
      <c r="T67"/>
      <c r="U67"/>
      <c r="V67"/>
    </row>
    <row r="68" spans="1:22" s="4" customFormat="1" x14ac:dyDescent="0.35">
      <c r="A68" s="2"/>
      <c r="B68" s="1"/>
      <c r="C68" s="5"/>
      <c r="D68" s="37"/>
      <c r="E68" s="14"/>
      <c r="F68" s="65"/>
      <c r="G68" s="14"/>
      <c r="H68" s="54"/>
      <c r="I68" s="14"/>
      <c r="J68" s="54"/>
      <c r="L68" s="8"/>
      <c r="M68" s="8"/>
      <c r="N68" s="1"/>
      <c r="O68" s="25"/>
      <c r="P68"/>
      <c r="Q68"/>
      <c r="R68"/>
      <c r="S68"/>
      <c r="T68"/>
      <c r="U68"/>
      <c r="V68"/>
    </row>
    <row r="69" spans="1:22" s="4" customFormat="1" x14ac:dyDescent="0.35">
      <c r="A69" s="2"/>
      <c r="B69" s="1"/>
      <c r="C69" s="5"/>
      <c r="D69" s="37"/>
      <c r="E69" s="14"/>
      <c r="F69" s="65"/>
      <c r="G69" s="14"/>
      <c r="H69" s="54"/>
      <c r="I69" s="14"/>
      <c r="J69" s="54"/>
      <c r="L69" s="8"/>
      <c r="M69" s="8"/>
      <c r="N69" s="1"/>
      <c r="O69" s="25"/>
      <c r="P69"/>
      <c r="Q69"/>
      <c r="R69"/>
      <c r="S69"/>
      <c r="T69"/>
      <c r="U69"/>
      <c r="V69"/>
    </row>
    <row r="70" spans="1:22" s="4" customFormat="1" x14ac:dyDescent="0.35">
      <c r="A70" s="2"/>
      <c r="B70" s="1"/>
      <c r="C70" s="5"/>
      <c r="D70" s="37"/>
      <c r="E70" s="14"/>
      <c r="F70" s="65"/>
      <c r="G70" s="14"/>
      <c r="H70" s="54"/>
      <c r="I70" s="14"/>
      <c r="J70" s="54"/>
      <c r="L70" s="8"/>
      <c r="M70" s="8"/>
      <c r="N70" s="1"/>
      <c r="O70" s="25"/>
      <c r="P70"/>
      <c r="Q70"/>
      <c r="R70"/>
      <c r="S70"/>
      <c r="T70"/>
      <c r="U70"/>
      <c r="V70"/>
    </row>
    <row r="71" spans="1:22" s="4" customFormat="1" x14ac:dyDescent="0.35">
      <c r="A71" s="2"/>
      <c r="B71" s="1"/>
      <c r="C71" s="5"/>
      <c r="D71" s="37"/>
      <c r="E71" s="14"/>
      <c r="F71" s="65"/>
      <c r="G71" s="14"/>
      <c r="H71" s="54"/>
      <c r="I71" s="14"/>
      <c r="J71" s="54"/>
      <c r="L71" s="8"/>
      <c r="M71" s="8"/>
      <c r="N71" s="1"/>
      <c r="O71" s="25"/>
      <c r="P71"/>
      <c r="Q71"/>
      <c r="R71"/>
      <c r="S71"/>
      <c r="T71"/>
      <c r="U71"/>
      <c r="V71"/>
    </row>
    <row r="72" spans="1:22" s="4" customFormat="1" x14ac:dyDescent="0.35">
      <c r="A72" s="2"/>
      <c r="B72" s="1"/>
      <c r="C72" s="5"/>
      <c r="D72" s="37"/>
      <c r="E72" s="14"/>
      <c r="F72" s="65"/>
      <c r="G72" s="14"/>
      <c r="H72" s="54"/>
      <c r="I72" s="14"/>
      <c r="J72" s="54"/>
      <c r="L72" s="8"/>
      <c r="M72" s="8"/>
      <c r="N72" s="1"/>
      <c r="O72" s="25"/>
      <c r="P72"/>
      <c r="Q72"/>
      <c r="R72"/>
      <c r="S72"/>
      <c r="T72"/>
      <c r="U72"/>
      <c r="V72"/>
    </row>
  </sheetData>
  <sheetProtection algorithmName="SHA-512" hashValue="GyiuODul8D4dHYYwYC18lGIMs4/0LR4dk+ctbnP93CLfxd6cDRKH0q/ZK1n7+JmgaPaTYJkBCO6LFIFcKtpS+g==" saltValue="Dlju/8vQzFMlPImG3dYayg==" spinCount="100000" sheet="1" objects="1" scenarios="1"/>
  <mergeCells count="3">
    <mergeCell ref="B15:D15"/>
    <mergeCell ref="B17:E17"/>
    <mergeCell ref="B25:E25"/>
  </mergeCells>
  <phoneticPr fontId="11" type="noConversion"/>
  <printOptions gridLines="1"/>
  <pageMargins left="0.7" right="0.7" top="0.75" bottom="0.75" header="0.3" footer="0.3"/>
  <pageSetup paperSize="9"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BD71-7697-4064-8F4C-5A5EF7187F32}">
  <dimension ref="B1:F22"/>
  <sheetViews>
    <sheetView workbookViewId="0">
      <selection activeCell="F22" sqref="F22"/>
    </sheetView>
  </sheetViews>
  <sheetFormatPr defaultRowHeight="14.5" x14ac:dyDescent="0.35"/>
  <cols>
    <col min="1" max="1" width="5" customWidth="1"/>
    <col min="2" max="2" width="26" style="76" customWidth="1"/>
    <col min="3" max="3" width="0" hidden="1" customWidth="1"/>
    <col min="4" max="4" width="52" hidden="1" customWidth="1"/>
    <col min="5" max="5" width="3.54296875" hidden="1" customWidth="1"/>
    <col min="6" max="6" width="62.1796875" style="8" customWidth="1"/>
  </cols>
  <sheetData>
    <row r="1" spans="2:6" x14ac:dyDescent="0.35">
      <c r="B1" s="77" t="s">
        <v>1171</v>
      </c>
    </row>
    <row r="3" spans="2:6" x14ac:dyDescent="0.35">
      <c r="B3" s="75" t="s">
        <v>1172</v>
      </c>
      <c r="C3" s="74"/>
      <c r="D3" s="74"/>
      <c r="E3" s="74"/>
      <c r="F3" s="9" t="s">
        <v>1173</v>
      </c>
    </row>
    <row r="4" spans="2:6" ht="29" x14ac:dyDescent="0.35">
      <c r="B4" s="71" t="str">
        <f>Assessments!A109</f>
        <v>Eglinton River Trail</v>
      </c>
      <c r="C4" s="72" t="s">
        <v>21</v>
      </c>
      <c r="D4" s="73" t="s">
        <v>22</v>
      </c>
      <c r="F4" s="71" t="s">
        <v>1174</v>
      </c>
    </row>
    <row r="5" spans="2:6" ht="87" x14ac:dyDescent="0.35">
      <c r="B5" s="18" t="str">
        <f>Assessments!A126</f>
        <v>Te Huakaue Knobs Flat Short Walks</v>
      </c>
      <c r="C5" s="31" t="s">
        <v>30</v>
      </c>
      <c r="D5" s="17" t="s">
        <v>31</v>
      </c>
      <c r="F5" s="18" t="s">
        <v>1175</v>
      </c>
    </row>
    <row r="6" spans="2:6" ht="101.5" x14ac:dyDescent="0.35">
      <c r="B6" s="18" t="s">
        <v>1176</v>
      </c>
      <c r="C6" s="31" t="s">
        <v>39</v>
      </c>
      <c r="D6" s="17" t="s">
        <v>40</v>
      </c>
      <c r="F6" s="18" t="s">
        <v>1177</v>
      </c>
    </row>
    <row r="7" spans="2:6" ht="72.5" x14ac:dyDescent="0.35">
      <c r="B7" s="18" t="s">
        <v>1178</v>
      </c>
      <c r="C7" s="31" t="s">
        <v>70</v>
      </c>
      <c r="D7" s="20" t="s">
        <v>71</v>
      </c>
      <c r="F7" s="18" t="s">
        <v>1179</v>
      </c>
    </row>
    <row r="8" spans="2:6" ht="29" x14ac:dyDescent="0.35">
      <c r="B8" s="18" t="s">
        <v>1180</v>
      </c>
      <c r="C8" s="31" t="s">
        <v>30</v>
      </c>
      <c r="D8" s="18" t="s">
        <v>133</v>
      </c>
      <c r="F8" s="18" t="s">
        <v>1181</v>
      </c>
    </row>
    <row r="9" spans="2:6" ht="58" x14ac:dyDescent="0.35">
      <c r="B9" s="18" t="s">
        <v>141</v>
      </c>
      <c r="C9" s="31" t="s">
        <v>142</v>
      </c>
      <c r="D9" s="17" t="s">
        <v>143</v>
      </c>
      <c r="F9" s="18" t="s">
        <v>1182</v>
      </c>
    </row>
    <row r="10" spans="2:6" ht="72.5" x14ac:dyDescent="0.35">
      <c r="B10" s="18" t="s">
        <v>151</v>
      </c>
      <c r="C10" s="31" t="s">
        <v>152</v>
      </c>
      <c r="D10" s="18" t="s">
        <v>153</v>
      </c>
      <c r="F10" s="18" t="s">
        <v>1183</v>
      </c>
    </row>
    <row r="11" spans="2:6" ht="58" x14ac:dyDescent="0.35">
      <c r="B11" s="18" t="s">
        <v>1184</v>
      </c>
      <c r="C11" s="31" t="s">
        <v>30</v>
      </c>
      <c r="D11" s="17" t="s">
        <v>159</v>
      </c>
      <c r="F11" s="18" t="s">
        <v>1185</v>
      </c>
    </row>
    <row r="12" spans="2:6" ht="58" x14ac:dyDescent="0.35">
      <c r="B12" s="18" t="s">
        <v>1186</v>
      </c>
      <c r="C12" s="31" t="s">
        <v>55</v>
      </c>
      <c r="D12" s="17" t="s">
        <v>167</v>
      </c>
      <c r="F12" s="18" t="s">
        <v>1187</v>
      </c>
    </row>
    <row r="13" spans="2:6" ht="29" x14ac:dyDescent="0.35">
      <c r="B13" s="18" t="s">
        <v>1188</v>
      </c>
      <c r="C13" s="31" t="s">
        <v>177</v>
      </c>
      <c r="D13" s="17" t="s">
        <v>178</v>
      </c>
      <c r="F13" s="18" t="s">
        <v>1189</v>
      </c>
    </row>
    <row r="14" spans="2:6" ht="43.5" x14ac:dyDescent="0.35">
      <c r="B14" s="18" t="s">
        <v>190</v>
      </c>
      <c r="C14" s="31" t="s">
        <v>55</v>
      </c>
      <c r="D14" s="17"/>
      <c r="F14" s="18" t="s">
        <v>1190</v>
      </c>
    </row>
    <row r="15" spans="2:6" ht="29" x14ac:dyDescent="0.35">
      <c r="B15" s="18" t="s">
        <v>1191</v>
      </c>
      <c r="C15" s="31" t="s">
        <v>177</v>
      </c>
      <c r="D15" s="17" t="s">
        <v>197</v>
      </c>
      <c r="F15" s="18" t="s">
        <v>1182</v>
      </c>
    </row>
    <row r="16" spans="2:6" ht="87" x14ac:dyDescent="0.35">
      <c r="B16" s="18" t="s">
        <v>1192</v>
      </c>
      <c r="C16" s="31" t="s">
        <v>30</v>
      </c>
      <c r="D16" s="17" t="s">
        <v>206</v>
      </c>
      <c r="F16" s="18" t="s">
        <v>1193</v>
      </c>
    </row>
    <row r="17" spans="2:6" ht="29" x14ac:dyDescent="0.35">
      <c r="B17" s="18" t="s">
        <v>469</v>
      </c>
      <c r="C17" s="31" t="s">
        <v>216</v>
      </c>
      <c r="D17" s="17" t="s">
        <v>217</v>
      </c>
      <c r="F17" s="18" t="s">
        <v>1189</v>
      </c>
    </row>
    <row r="18" spans="2:6" ht="43.5" x14ac:dyDescent="0.35">
      <c r="B18" s="121" t="s">
        <v>581</v>
      </c>
      <c r="C18" s="31" t="s">
        <v>216</v>
      </c>
      <c r="D18" s="17" t="s">
        <v>225</v>
      </c>
      <c r="F18" s="18" t="s">
        <v>1194</v>
      </c>
    </row>
    <row r="19" spans="2:6" ht="58" x14ac:dyDescent="0.35">
      <c r="B19" s="18" t="s">
        <v>1195</v>
      </c>
      <c r="C19" s="31" t="s">
        <v>30</v>
      </c>
      <c r="D19" s="17" t="s">
        <v>233</v>
      </c>
      <c r="F19" s="18" t="s">
        <v>1196</v>
      </c>
    </row>
    <row r="20" spans="2:6" ht="58" x14ac:dyDescent="0.35">
      <c r="B20" s="18" t="s">
        <v>242</v>
      </c>
      <c r="C20" s="31" t="s">
        <v>243</v>
      </c>
      <c r="D20" s="17" t="s">
        <v>244</v>
      </c>
      <c r="F20" s="18" t="s">
        <v>1197</v>
      </c>
    </row>
    <row r="21" spans="2:6" x14ac:dyDescent="0.35">
      <c r="B21" s="18" t="s">
        <v>252</v>
      </c>
      <c r="C21" s="31" t="s">
        <v>30</v>
      </c>
      <c r="D21" s="17"/>
      <c r="F21" s="18" t="s">
        <v>1198</v>
      </c>
    </row>
    <row r="22" spans="2:6" ht="43.5" x14ac:dyDescent="0.35">
      <c r="B22" s="18" t="s">
        <v>1199</v>
      </c>
      <c r="C22" s="31" t="s">
        <v>30</v>
      </c>
      <c r="D22" s="17" t="s">
        <v>258</v>
      </c>
      <c r="F22" s="18" t="s">
        <v>1200</v>
      </c>
    </row>
  </sheetData>
  <sheetProtection algorithmName="SHA-512" hashValue="1W0QJvTCaOyIqHri4PBfODH+5gR4QY60hkjaF7xlW9PT9vRa7IYlt+tFFdsnM2P7eniaYb2J69SKkOePU/g8Ww==" saltValue="eqQyUFmd5gQ3uavZytFMeA==" spinCount="100000" sheet="1" objects="1" scenario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8E8D-4146-4E9D-99D1-A537E316D227}">
  <sheetPr>
    <pageSetUpPr fitToPage="1"/>
  </sheetPr>
  <dimension ref="A1:E30"/>
  <sheetViews>
    <sheetView tabSelected="1" workbookViewId="0">
      <selection activeCell="D8" sqref="D8"/>
    </sheetView>
  </sheetViews>
  <sheetFormatPr defaultRowHeight="14.5" x14ac:dyDescent="0.35"/>
  <cols>
    <col min="1" max="1" width="6.81640625" style="1" customWidth="1"/>
    <col min="2" max="2" width="34.1796875" style="8" bestFit="1" customWidth="1"/>
    <col min="3" max="3" width="10.54296875" style="2" customWidth="1"/>
    <col min="4" max="4" width="10.26953125" style="2" bestFit="1" customWidth="1"/>
    <col min="5" max="5" width="62.453125" style="67" customWidth="1"/>
  </cols>
  <sheetData>
    <row r="1" spans="1:5" x14ac:dyDescent="0.35">
      <c r="A1" s="43" t="s">
        <v>1201</v>
      </c>
    </row>
    <row r="2" spans="1:5" x14ac:dyDescent="0.35">
      <c r="A2" s="1" t="s">
        <v>1202</v>
      </c>
    </row>
    <row r="4" spans="1:5" x14ac:dyDescent="0.35">
      <c r="A4" s="79" t="s">
        <v>522</v>
      </c>
      <c r="B4" s="9" t="s">
        <v>1203</v>
      </c>
      <c r="C4" s="79" t="s">
        <v>1204</v>
      </c>
      <c r="D4" s="79" t="s">
        <v>1205</v>
      </c>
      <c r="E4" s="88" t="s">
        <v>844</v>
      </c>
    </row>
    <row r="5" spans="1:5" x14ac:dyDescent="0.35">
      <c r="A5" s="2">
        <v>1</v>
      </c>
      <c r="B5" s="8" t="s">
        <v>1206</v>
      </c>
      <c r="C5" s="2" t="s">
        <v>707</v>
      </c>
      <c r="D5" s="2" t="s">
        <v>1207</v>
      </c>
      <c r="E5" s="67" t="s">
        <v>1208</v>
      </c>
    </row>
    <row r="6" spans="1:5" ht="43.5" x14ac:dyDescent="0.35">
      <c r="A6" s="2">
        <v>2</v>
      </c>
      <c r="B6" s="8" t="s">
        <v>1209</v>
      </c>
      <c r="C6" s="85" t="s">
        <v>1210</v>
      </c>
      <c r="D6" s="2" t="s">
        <v>1211</v>
      </c>
      <c r="E6" s="67" t="s">
        <v>1212</v>
      </c>
    </row>
    <row r="7" spans="1:5" ht="29" x14ac:dyDescent="0.35">
      <c r="A7" s="2">
        <v>3</v>
      </c>
      <c r="B7" s="8" t="s">
        <v>1213</v>
      </c>
      <c r="C7" s="2" t="s">
        <v>707</v>
      </c>
      <c r="D7" s="2" t="s">
        <v>1214</v>
      </c>
      <c r="E7" s="67" t="s">
        <v>1215</v>
      </c>
    </row>
    <row r="8" spans="1:5" ht="29" x14ac:dyDescent="0.35">
      <c r="A8" s="2">
        <v>4</v>
      </c>
      <c r="B8" s="8" t="s">
        <v>1216</v>
      </c>
      <c r="C8" s="2" t="s">
        <v>1217</v>
      </c>
      <c r="D8" s="2" t="s">
        <v>1218</v>
      </c>
      <c r="E8" s="67" t="s">
        <v>1219</v>
      </c>
    </row>
    <row r="9" spans="1:5" x14ac:dyDescent="0.35">
      <c r="A9" s="2">
        <v>5</v>
      </c>
      <c r="B9" s="8" t="s">
        <v>1220</v>
      </c>
      <c r="C9" s="2" t="s">
        <v>707</v>
      </c>
      <c r="D9" s="2" t="s">
        <v>1221</v>
      </c>
      <c r="E9" s="67" t="s">
        <v>1222</v>
      </c>
    </row>
    <row r="10" spans="1:5" ht="29" x14ac:dyDescent="0.35">
      <c r="A10" s="2">
        <v>6</v>
      </c>
      <c r="B10" s="8" t="s">
        <v>1223</v>
      </c>
      <c r="C10" s="2" t="s">
        <v>707</v>
      </c>
      <c r="D10" s="2" t="s">
        <v>1224</v>
      </c>
      <c r="E10" s="67" t="s">
        <v>1225</v>
      </c>
    </row>
    <row r="11" spans="1:5" x14ac:dyDescent="0.35">
      <c r="A11" s="2">
        <v>7</v>
      </c>
      <c r="B11" s="8" t="s">
        <v>1226</v>
      </c>
      <c r="C11" s="2" t="s">
        <v>707</v>
      </c>
      <c r="D11" s="2" t="s">
        <v>1227</v>
      </c>
      <c r="E11" s="67" t="s">
        <v>1228</v>
      </c>
    </row>
    <row r="12" spans="1:5" x14ac:dyDescent="0.35">
      <c r="A12" s="2">
        <v>8</v>
      </c>
      <c r="B12" s="8" t="s">
        <v>1229</v>
      </c>
      <c r="C12" s="2" t="s">
        <v>707</v>
      </c>
      <c r="D12" s="2" t="s">
        <v>1230</v>
      </c>
      <c r="E12" s="67" t="s">
        <v>1231</v>
      </c>
    </row>
    <row r="13" spans="1:5" ht="43.5" x14ac:dyDescent="0.35">
      <c r="A13" s="2">
        <v>9</v>
      </c>
      <c r="B13" s="8" t="s">
        <v>1232</v>
      </c>
      <c r="C13" s="85" t="s">
        <v>1233</v>
      </c>
      <c r="D13" s="2" t="s">
        <v>1234</v>
      </c>
      <c r="E13" s="67" t="s">
        <v>1235</v>
      </c>
    </row>
    <row r="14" spans="1:5" ht="29" x14ac:dyDescent="0.35">
      <c r="A14" s="2">
        <v>10</v>
      </c>
      <c r="B14" s="8" t="s">
        <v>1236</v>
      </c>
      <c r="C14" s="2" t="s">
        <v>707</v>
      </c>
      <c r="D14" s="2" t="s">
        <v>1237</v>
      </c>
      <c r="E14" s="67" t="s">
        <v>1238</v>
      </c>
    </row>
    <row r="15" spans="1:5" x14ac:dyDescent="0.35">
      <c r="A15" s="2">
        <v>11</v>
      </c>
      <c r="B15" s="8" t="s">
        <v>1239</v>
      </c>
      <c r="C15" s="2" t="s">
        <v>707</v>
      </c>
      <c r="D15" s="2" t="s">
        <v>1240</v>
      </c>
      <c r="E15" s="67" t="s">
        <v>1241</v>
      </c>
    </row>
    <row r="16" spans="1:5" ht="29" x14ac:dyDescent="0.35">
      <c r="A16" s="2">
        <v>12</v>
      </c>
      <c r="B16" s="8" t="s">
        <v>1242</v>
      </c>
      <c r="C16" s="2" t="s">
        <v>707</v>
      </c>
      <c r="D16" s="2" t="s">
        <v>1243</v>
      </c>
      <c r="E16" s="67" t="s">
        <v>1244</v>
      </c>
    </row>
    <row r="17" spans="1:5" ht="43.5" x14ac:dyDescent="0.35">
      <c r="A17" s="2">
        <v>13</v>
      </c>
      <c r="B17" s="8" t="s">
        <v>1245</v>
      </c>
      <c r="C17" s="2" t="s">
        <v>707</v>
      </c>
      <c r="D17" s="2" t="s">
        <v>1246</v>
      </c>
      <c r="E17" s="67" t="s">
        <v>1247</v>
      </c>
    </row>
    <row r="18" spans="1:5" ht="29" x14ac:dyDescent="0.35">
      <c r="A18" s="2">
        <v>14</v>
      </c>
      <c r="B18" s="8" t="s">
        <v>1248</v>
      </c>
      <c r="C18" s="2" t="s">
        <v>1233</v>
      </c>
      <c r="D18" s="2" t="s">
        <v>1249</v>
      </c>
      <c r="E18" s="67" t="s">
        <v>1250</v>
      </c>
    </row>
    <row r="19" spans="1:5" ht="29" x14ac:dyDescent="0.35">
      <c r="A19" s="2">
        <v>15</v>
      </c>
      <c r="B19" s="8" t="s">
        <v>1251</v>
      </c>
      <c r="C19" s="2" t="s">
        <v>707</v>
      </c>
      <c r="D19" s="2" t="s">
        <v>1237</v>
      </c>
      <c r="E19" s="67" t="s">
        <v>1252</v>
      </c>
    </row>
    <row r="20" spans="1:5" ht="29" x14ac:dyDescent="0.35">
      <c r="A20" s="2">
        <v>16</v>
      </c>
      <c r="B20" s="8" t="s">
        <v>1253</v>
      </c>
      <c r="C20" s="85" t="s">
        <v>1254</v>
      </c>
      <c r="D20" s="2" t="s">
        <v>1255</v>
      </c>
      <c r="E20" s="67" t="s">
        <v>1256</v>
      </c>
    </row>
    <row r="21" spans="1:5" ht="29" x14ac:dyDescent="0.35">
      <c r="A21" s="2">
        <v>17</v>
      </c>
      <c r="B21" s="8" t="s">
        <v>1257</v>
      </c>
      <c r="C21" s="2" t="s">
        <v>1258</v>
      </c>
      <c r="D21" s="2" t="s">
        <v>1259</v>
      </c>
      <c r="E21" s="67" t="s">
        <v>1260</v>
      </c>
    </row>
    <row r="22" spans="1:5" ht="43.5" x14ac:dyDescent="0.35">
      <c r="A22" s="2">
        <v>18</v>
      </c>
      <c r="B22" s="8" t="s">
        <v>1261</v>
      </c>
      <c r="C22" s="85" t="s">
        <v>1262</v>
      </c>
      <c r="D22" s="85" t="s">
        <v>1263</v>
      </c>
      <c r="E22" s="67" t="s">
        <v>1264</v>
      </c>
    </row>
    <row r="23" spans="1:5" x14ac:dyDescent="0.35">
      <c r="A23" s="2"/>
    </row>
    <row r="24" spans="1:5" x14ac:dyDescent="0.35">
      <c r="A24" s="2"/>
    </row>
    <row r="25" spans="1:5" x14ac:dyDescent="0.35">
      <c r="A25" s="2"/>
    </row>
    <row r="26" spans="1:5" x14ac:dyDescent="0.35">
      <c r="A26" s="2"/>
    </row>
    <row r="27" spans="1:5" x14ac:dyDescent="0.35">
      <c r="A27" s="2"/>
    </row>
    <row r="28" spans="1:5" x14ac:dyDescent="0.35">
      <c r="A28" s="2"/>
    </row>
    <row r="29" spans="1:5" x14ac:dyDescent="0.35">
      <c r="A29" s="2"/>
    </row>
    <row r="30" spans="1:5" x14ac:dyDescent="0.35">
      <c r="A30" s="2"/>
    </row>
  </sheetData>
  <sheetProtection algorithmName="SHA-512" hashValue="aFPnbSNpjOvcSOybnFVwwR7J/dK1DljgiO+QDuWWSFIqc9TYE2AXgaMsG8EpVQVfdTeujr1jIfVEMpIQDdI5zg==" saltValue="NPkwQ+rzxDBBpqeybotsyw==" spinCount="100000" sheet="1" objects="1" scenarios="1"/>
  <printOptions gridLines="1"/>
  <pageMargins left="0.7" right="0.7" top="0.75" bottom="0.75" header="0.3" footer="0.3"/>
  <pageSetup paperSize="9"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AA405-4952-4ACE-A6ED-60DDE77C4EA0}">
  <dimension ref="A1:D458"/>
  <sheetViews>
    <sheetView workbookViewId="0">
      <selection activeCell="G8" sqref="G8"/>
    </sheetView>
  </sheetViews>
  <sheetFormatPr defaultRowHeight="14.5" x14ac:dyDescent="0.35"/>
  <cols>
    <col min="1" max="1" width="19.1796875" customWidth="1"/>
    <col min="2" max="2" width="75.453125" customWidth="1"/>
    <col min="3" max="3" width="3.54296875" customWidth="1"/>
    <col min="4" max="4" width="90.54296875" style="1" hidden="1" customWidth="1"/>
    <col min="5" max="5" width="27.453125" customWidth="1"/>
  </cols>
  <sheetData>
    <row r="1" spans="1:2" x14ac:dyDescent="0.35">
      <c r="A1" s="226" t="s">
        <v>268</v>
      </c>
      <c r="B1" s="227"/>
    </row>
    <row r="2" spans="1:2" x14ac:dyDescent="0.35">
      <c r="A2" s="9" t="s">
        <v>6</v>
      </c>
      <c r="B2" s="69" t="s">
        <v>269</v>
      </c>
    </row>
    <row r="3" spans="1:2" x14ac:dyDescent="0.35">
      <c r="A3" s="9" t="s">
        <v>270</v>
      </c>
      <c r="B3" s="69" t="s">
        <v>271</v>
      </c>
    </row>
    <row r="4" spans="1:2" x14ac:dyDescent="0.35">
      <c r="A4" s="9" t="s">
        <v>272</v>
      </c>
      <c r="B4" s="69" t="s">
        <v>273</v>
      </c>
    </row>
    <row r="5" spans="1:2" ht="29" x14ac:dyDescent="0.35">
      <c r="A5" s="9" t="s">
        <v>274</v>
      </c>
      <c r="B5" s="69" t="s">
        <v>275</v>
      </c>
    </row>
    <row r="6" spans="1:2" ht="43.5" x14ac:dyDescent="0.35">
      <c r="A6" s="9" t="s">
        <v>276</v>
      </c>
      <c r="B6" s="69" t="s">
        <v>277</v>
      </c>
    </row>
    <row r="7" spans="1:2" x14ac:dyDescent="0.35">
      <c r="A7" s="9" t="s">
        <v>278</v>
      </c>
      <c r="B7" s="69" t="s">
        <v>279</v>
      </c>
    </row>
    <row r="8" spans="1:2" ht="29" x14ac:dyDescent="0.35">
      <c r="A8" s="9" t="s">
        <v>280</v>
      </c>
      <c r="B8" s="69" t="s">
        <v>281</v>
      </c>
    </row>
    <row r="9" spans="1:2" ht="29" x14ac:dyDescent="0.35">
      <c r="A9" s="9" t="s">
        <v>282</v>
      </c>
      <c r="B9" s="69" t="s">
        <v>283</v>
      </c>
    </row>
    <row r="10" spans="1:2" x14ac:dyDescent="0.35">
      <c r="A10" s="9" t="s">
        <v>284</v>
      </c>
      <c r="B10" s="69" t="s">
        <v>285</v>
      </c>
    </row>
    <row r="11" spans="1:2" ht="29" x14ac:dyDescent="0.35">
      <c r="A11" s="9" t="s">
        <v>286</v>
      </c>
      <c r="B11" s="69" t="s">
        <v>287</v>
      </c>
    </row>
    <row r="12" spans="1:2" x14ac:dyDescent="0.35">
      <c r="A12" s="9" t="s">
        <v>288</v>
      </c>
      <c r="B12" s="70" t="s">
        <v>289</v>
      </c>
    </row>
    <row r="13" spans="1:2" x14ac:dyDescent="0.35">
      <c r="A13" s="9" t="s">
        <v>290</v>
      </c>
      <c r="B13" s="70" t="s">
        <v>291</v>
      </c>
    </row>
    <row r="14" spans="1:2" ht="29" x14ac:dyDescent="0.35">
      <c r="A14" s="9" t="s">
        <v>292</v>
      </c>
      <c r="B14" s="69" t="s">
        <v>293</v>
      </c>
    </row>
    <row r="15" spans="1:2" x14ac:dyDescent="0.35">
      <c r="A15" s="9" t="s">
        <v>294</v>
      </c>
      <c r="B15" s="69" t="s">
        <v>295</v>
      </c>
    </row>
    <row r="16" spans="1:2" x14ac:dyDescent="0.35">
      <c r="A16" s="9" t="s">
        <v>296</v>
      </c>
      <c r="B16" s="69" t="s">
        <v>297</v>
      </c>
    </row>
    <row r="21" spans="1:4" x14ac:dyDescent="0.35">
      <c r="A21" s="226" t="s">
        <v>298</v>
      </c>
      <c r="B21" s="227"/>
      <c r="D21" s="43" t="s">
        <v>299</v>
      </c>
    </row>
    <row r="22" spans="1:4" x14ac:dyDescent="0.35">
      <c r="A22" s="9" t="s">
        <v>6</v>
      </c>
      <c r="B22" s="69">
        <f>'Cost (2)'!D131</f>
        <v>55450</v>
      </c>
      <c r="D22" s="1" t="s">
        <v>68</v>
      </c>
    </row>
    <row r="23" spans="1:4" x14ac:dyDescent="0.35">
      <c r="A23" s="9" t="s">
        <v>270</v>
      </c>
      <c r="B23" s="69" t="s">
        <v>300</v>
      </c>
    </row>
    <row r="24" spans="1:4" x14ac:dyDescent="0.35">
      <c r="A24" s="9" t="s">
        <v>12</v>
      </c>
      <c r="B24" s="69" t="s">
        <v>301</v>
      </c>
    </row>
    <row r="25" spans="1:4" ht="72.5" x14ac:dyDescent="0.35">
      <c r="A25" s="9" t="s">
        <v>274</v>
      </c>
      <c r="B25" s="69" t="s">
        <v>302</v>
      </c>
    </row>
    <row r="26" spans="1:4" x14ac:dyDescent="0.35">
      <c r="A26" s="9" t="s">
        <v>276</v>
      </c>
      <c r="B26" s="69" t="str">
        <f>Risks!L3</f>
        <v>Bridges (High), Structures, Flooding &amp; Maintenance (Medium)</v>
      </c>
    </row>
    <row r="27" spans="1:4" ht="43.5" x14ac:dyDescent="0.35">
      <c r="A27" s="9" t="s">
        <v>303</v>
      </c>
      <c r="B27" s="69" t="str">
        <f>Risks!M3</f>
        <v>Large bridges over Eglinton River are integral to success, obvious flood hazard in Eglinton Valley and associated higher maintenance requirements and operational costs, landslides near steep valley walls, methods to generate maintenance revenue</v>
      </c>
    </row>
    <row r="28" spans="1:4" ht="29" x14ac:dyDescent="0.35">
      <c r="A28" s="9" t="s">
        <v>304</v>
      </c>
      <c r="B28" s="69" t="s">
        <v>301</v>
      </c>
    </row>
    <row r="29" spans="1:4" ht="130.5" x14ac:dyDescent="0.35">
      <c r="A29" s="9" t="s">
        <v>282</v>
      </c>
      <c r="B29" s="69" t="s">
        <v>305</v>
      </c>
    </row>
    <row r="30" spans="1:4" ht="58" x14ac:dyDescent="0.35">
      <c r="A30" s="9" t="s">
        <v>284</v>
      </c>
      <c r="B30" s="69" t="s">
        <v>306</v>
      </c>
    </row>
    <row r="31" spans="1:4" ht="43.5" x14ac:dyDescent="0.35">
      <c r="A31" s="9" t="s">
        <v>286</v>
      </c>
      <c r="B31" s="69" t="s">
        <v>307</v>
      </c>
    </row>
    <row r="32" spans="1:4" x14ac:dyDescent="0.35">
      <c r="A32" s="9" t="s">
        <v>288</v>
      </c>
      <c r="B32" s="208">
        <f>Summary!L24</f>
        <v>24276685.813714288</v>
      </c>
      <c r="D32" s="1" t="s">
        <v>308</v>
      </c>
    </row>
    <row r="33" spans="1:2" x14ac:dyDescent="0.35">
      <c r="A33" s="9" t="s">
        <v>290</v>
      </c>
      <c r="B33" s="208">
        <f>Summary!L29</f>
        <v>623800.44000000006</v>
      </c>
    </row>
    <row r="34" spans="1:2" ht="43.5" x14ac:dyDescent="0.35">
      <c r="A34" s="9" t="s">
        <v>292</v>
      </c>
      <c r="B34" s="69" t="s">
        <v>309</v>
      </c>
    </row>
    <row r="35" spans="1:2" ht="58" x14ac:dyDescent="0.35">
      <c r="A35" s="9" t="s">
        <v>294</v>
      </c>
      <c r="B35" s="69" t="s">
        <v>310</v>
      </c>
    </row>
    <row r="36" spans="1:2" x14ac:dyDescent="0.35">
      <c r="A36" s="34"/>
      <c r="B36" s="51"/>
    </row>
    <row r="38" spans="1:2" x14ac:dyDescent="0.35">
      <c r="A38" s="226" t="s">
        <v>311</v>
      </c>
      <c r="B38" s="227"/>
    </row>
    <row r="39" spans="1:2" x14ac:dyDescent="0.35">
      <c r="A39" s="9" t="s">
        <v>6</v>
      </c>
      <c r="B39" s="69">
        <f>'Cost (2)'!D205</f>
        <v>8830</v>
      </c>
    </row>
    <row r="40" spans="1:2" x14ac:dyDescent="0.35">
      <c r="A40" s="9" t="s">
        <v>270</v>
      </c>
      <c r="B40" s="69" t="s">
        <v>300</v>
      </c>
    </row>
    <row r="41" spans="1:2" x14ac:dyDescent="0.35">
      <c r="A41" s="9" t="s">
        <v>12</v>
      </c>
      <c r="B41" s="69" t="s">
        <v>312</v>
      </c>
    </row>
    <row r="42" spans="1:2" ht="87" x14ac:dyDescent="0.35">
      <c r="A42" s="9" t="s">
        <v>274</v>
      </c>
      <c r="B42" s="69" t="s">
        <v>313</v>
      </c>
    </row>
    <row r="43" spans="1:2" x14ac:dyDescent="0.35">
      <c r="A43" s="9" t="s">
        <v>276</v>
      </c>
      <c r="B43" s="69" t="str">
        <f>Risks!L6</f>
        <v>Bridges, Landslides, Weather, Flooding &amp; Maintenance (Medium), Structures (High)</v>
      </c>
    </row>
    <row r="44" spans="1:2" ht="87" x14ac:dyDescent="0.35">
      <c r="A44" s="9" t="s">
        <v>303</v>
      </c>
      <c r="B44" s="69" t="str">
        <f>Risks!M6</f>
        <v>Large cliff face on the western side of Lake Gunn will be technically demanding to build on although solutions have been proven on lake Dunstan Trail. Faces have obvious vegetation landslide/debris flow paths which could destroy track structure making it impassable for long periods of time. Weather deteriorates significantly towards Divide with increasing wind and significant increase in rainfall which impacts user experience, maintenance costs could be high from windfall onto structures</v>
      </c>
    </row>
    <row r="45" spans="1:2" ht="29" x14ac:dyDescent="0.35">
      <c r="A45" s="9" t="s">
        <v>304</v>
      </c>
      <c r="B45" s="69" t="s">
        <v>314</v>
      </c>
    </row>
    <row r="46" spans="1:2" ht="87" x14ac:dyDescent="0.35">
      <c r="A46" s="9" t="s">
        <v>282</v>
      </c>
      <c r="B46" s="69" t="s">
        <v>315</v>
      </c>
    </row>
    <row r="47" spans="1:2" ht="29" x14ac:dyDescent="0.35">
      <c r="A47" s="9" t="s">
        <v>284</v>
      </c>
      <c r="B47" s="69" t="s">
        <v>316</v>
      </c>
    </row>
    <row r="48" spans="1:2" ht="29" x14ac:dyDescent="0.35">
      <c r="A48" s="9" t="s">
        <v>286</v>
      </c>
      <c r="B48" s="69" t="s">
        <v>317</v>
      </c>
    </row>
    <row r="49" spans="1:2" x14ac:dyDescent="0.35">
      <c r="A49" s="9" t="s">
        <v>288</v>
      </c>
      <c r="B49" s="208">
        <f>Summary!N24</f>
        <v>22722897.600000001</v>
      </c>
    </row>
    <row r="50" spans="1:2" x14ac:dyDescent="0.35">
      <c r="A50" s="9" t="s">
        <v>290</v>
      </c>
      <c r="B50" s="70">
        <f>Summary!N29</f>
        <v>345360</v>
      </c>
    </row>
    <row r="51" spans="1:2" ht="58" x14ac:dyDescent="0.35">
      <c r="A51" s="9" t="s">
        <v>292</v>
      </c>
      <c r="B51" s="69" t="s">
        <v>318</v>
      </c>
    </row>
    <row r="52" spans="1:2" ht="72.5" x14ac:dyDescent="0.35">
      <c r="A52" s="9" t="s">
        <v>294</v>
      </c>
      <c r="B52" s="69" t="s">
        <v>319</v>
      </c>
    </row>
    <row r="55" spans="1:2" x14ac:dyDescent="0.35">
      <c r="A55" s="226" t="s">
        <v>320</v>
      </c>
      <c r="B55" s="227"/>
    </row>
    <row r="56" spans="1:2" x14ac:dyDescent="0.35">
      <c r="A56" s="9" t="s">
        <v>6</v>
      </c>
      <c r="B56" s="69">
        <f>'Cost (2)'!D272</f>
        <v>30720</v>
      </c>
    </row>
    <row r="57" spans="1:2" x14ac:dyDescent="0.35">
      <c r="A57" s="9" t="s">
        <v>270</v>
      </c>
      <c r="B57" s="69" t="s">
        <v>300</v>
      </c>
    </row>
    <row r="58" spans="1:2" x14ac:dyDescent="0.35">
      <c r="A58" s="9" t="s">
        <v>12</v>
      </c>
      <c r="B58" s="69" t="s">
        <v>321</v>
      </c>
    </row>
    <row r="59" spans="1:2" ht="72.5" x14ac:dyDescent="0.35">
      <c r="A59" s="9" t="s">
        <v>274</v>
      </c>
      <c r="B59" s="69" t="s">
        <v>322</v>
      </c>
    </row>
    <row r="60" spans="1:2" x14ac:dyDescent="0.35">
      <c r="A60" s="9" t="s">
        <v>276</v>
      </c>
      <c r="B60" s="69" t="str">
        <f>Risks!L4</f>
        <v>Structures, Flooding &amp; Maintenance (Medium)</v>
      </c>
    </row>
    <row r="61" spans="1:2" ht="72.5" x14ac:dyDescent="0.35">
      <c r="A61" s="9" t="s">
        <v>303</v>
      </c>
      <c r="B61" s="69" t="str">
        <f>Risks!M4</f>
        <v xml:space="preserve">Flood &amp; structures risk along SH94 margin in Eglinton valley (Walker Cr to Totara Flat) ,  landowner support is critical to building along road margins as requires use of adjoining private land, requires high levels of maintenance to retain Level of service adjoining roads as often road maintenance activities adversely impact trail drainage and surface quality. </v>
      </c>
    </row>
    <row r="62" spans="1:2" ht="29" x14ac:dyDescent="0.35">
      <c r="A62" s="9" t="s">
        <v>304</v>
      </c>
      <c r="B62" s="69" t="s">
        <v>323</v>
      </c>
    </row>
    <row r="63" spans="1:2" ht="130.5" x14ac:dyDescent="0.35">
      <c r="A63" s="9" t="s">
        <v>282</v>
      </c>
      <c r="B63" s="69" t="s">
        <v>324</v>
      </c>
    </row>
    <row r="64" spans="1:2" ht="43.5" x14ac:dyDescent="0.35">
      <c r="A64" s="9" t="s">
        <v>284</v>
      </c>
      <c r="B64" s="69" t="s">
        <v>325</v>
      </c>
    </row>
    <row r="65" spans="1:4" ht="29" x14ac:dyDescent="0.35">
      <c r="A65" s="9" t="s">
        <v>286</v>
      </c>
      <c r="B65" s="69" t="s">
        <v>326</v>
      </c>
    </row>
    <row r="66" spans="1:4" x14ac:dyDescent="0.35">
      <c r="A66" s="9" t="s">
        <v>288</v>
      </c>
      <c r="B66" s="208">
        <f>Summary!M24</f>
        <v>11708195.85</v>
      </c>
    </row>
    <row r="67" spans="1:4" x14ac:dyDescent="0.35">
      <c r="A67" s="9" t="s">
        <v>290</v>
      </c>
      <c r="B67" s="208">
        <f>Summary!M29</f>
        <v>404592</v>
      </c>
    </row>
    <row r="68" spans="1:4" ht="43.5" x14ac:dyDescent="0.35">
      <c r="A68" s="9" t="s">
        <v>292</v>
      </c>
      <c r="B68" s="69" t="s">
        <v>327</v>
      </c>
    </row>
    <row r="69" spans="1:4" ht="101.5" x14ac:dyDescent="0.35">
      <c r="A69" s="9" t="s">
        <v>294</v>
      </c>
      <c r="B69" s="69" t="s">
        <v>328</v>
      </c>
    </row>
    <row r="72" spans="1:4" x14ac:dyDescent="0.35">
      <c r="A72" s="226" t="s">
        <v>329</v>
      </c>
      <c r="B72" s="227"/>
    </row>
    <row r="73" spans="1:4" x14ac:dyDescent="0.35">
      <c r="A73" s="9" t="s">
        <v>6</v>
      </c>
      <c r="B73" s="69">
        <f>Cost!E61</f>
        <v>11000</v>
      </c>
      <c r="D73" s="1" t="s">
        <v>330</v>
      </c>
    </row>
    <row r="74" spans="1:4" ht="29" x14ac:dyDescent="0.35">
      <c r="A74" s="9" t="s">
        <v>270</v>
      </c>
      <c r="B74" s="69" t="s">
        <v>331</v>
      </c>
    </row>
    <row r="75" spans="1:4" x14ac:dyDescent="0.35">
      <c r="A75" s="9" t="s">
        <v>332</v>
      </c>
      <c r="B75" s="69" t="s">
        <v>333</v>
      </c>
    </row>
    <row r="76" spans="1:4" x14ac:dyDescent="0.35">
      <c r="A76" s="9" t="s">
        <v>12</v>
      </c>
      <c r="B76" s="69" t="s">
        <v>301</v>
      </c>
    </row>
    <row r="77" spans="1:4" ht="43.5" x14ac:dyDescent="0.35">
      <c r="A77" s="9" t="s">
        <v>274</v>
      </c>
      <c r="B77" s="69" t="s">
        <v>334</v>
      </c>
    </row>
    <row r="78" spans="1:4" x14ac:dyDescent="0.35">
      <c r="A78" s="9" t="s">
        <v>276</v>
      </c>
      <c r="B78" s="69" t="str">
        <f>Risks!L8</f>
        <v>Structures (High), Track Maintenance (Medium), Budget (Medium)</v>
      </c>
    </row>
    <row r="79" spans="1:4" ht="43.5" x14ac:dyDescent="0.35">
      <c r="A79" s="9" t="s">
        <v>303</v>
      </c>
      <c r="B79" s="69" t="str">
        <f>Risks!M8</f>
        <v>Very high wind zone, snow loading &amp; weather tightness are all construction challenges, rock fall from scarp onto hut site appears low, potential for high wear of insitu material if the track is not benched and sustains high use</v>
      </c>
    </row>
    <row r="80" spans="1:4" ht="29" x14ac:dyDescent="0.35">
      <c r="A80" s="9" t="s">
        <v>304</v>
      </c>
      <c r="B80" s="69" t="s">
        <v>301</v>
      </c>
    </row>
    <row r="81" spans="1:2" ht="116" x14ac:dyDescent="0.35">
      <c r="A81" s="9" t="s">
        <v>282</v>
      </c>
      <c r="B81" s="69" t="s">
        <v>335</v>
      </c>
    </row>
    <row r="82" spans="1:2" ht="58" x14ac:dyDescent="0.35">
      <c r="A82" s="9" t="s">
        <v>284</v>
      </c>
      <c r="B82" s="69" t="s">
        <v>336</v>
      </c>
    </row>
    <row r="83" spans="1:2" x14ac:dyDescent="0.35">
      <c r="A83" s="9" t="s">
        <v>286</v>
      </c>
      <c r="B83" s="69" t="s">
        <v>337</v>
      </c>
    </row>
    <row r="84" spans="1:2" x14ac:dyDescent="0.35">
      <c r="A84" s="9" t="s">
        <v>288</v>
      </c>
      <c r="B84" s="208">
        <f>Summary!E24</f>
        <v>3741267.6000000006</v>
      </c>
    </row>
    <row r="85" spans="1:2" x14ac:dyDescent="0.35">
      <c r="A85" s="9" t="s">
        <v>290</v>
      </c>
      <c r="B85" s="208">
        <f>Summary!E29</f>
        <v>123200</v>
      </c>
    </row>
    <row r="86" spans="1:2" ht="101.5" x14ac:dyDescent="0.35">
      <c r="A86" s="9" t="s">
        <v>292</v>
      </c>
      <c r="B86" s="69" t="s">
        <v>338</v>
      </c>
    </row>
    <row r="87" spans="1:2" ht="43.5" x14ac:dyDescent="0.35">
      <c r="A87" s="9" t="s">
        <v>294</v>
      </c>
      <c r="B87" s="69" t="s">
        <v>339</v>
      </c>
    </row>
    <row r="91" spans="1:2" x14ac:dyDescent="0.35">
      <c r="A91" s="226" t="s">
        <v>340</v>
      </c>
      <c r="B91" s="227"/>
    </row>
    <row r="92" spans="1:2" x14ac:dyDescent="0.35">
      <c r="A92" s="9" t="s">
        <v>6</v>
      </c>
      <c r="B92" s="69">
        <f>Cost!G45</f>
        <v>12000</v>
      </c>
    </row>
    <row r="93" spans="1:2" ht="29" x14ac:dyDescent="0.35">
      <c r="A93" s="9" t="s">
        <v>270</v>
      </c>
      <c r="B93" s="69" t="s">
        <v>341</v>
      </c>
    </row>
    <row r="94" spans="1:2" x14ac:dyDescent="0.35">
      <c r="A94" s="9" t="s">
        <v>332</v>
      </c>
      <c r="B94" s="69" t="s">
        <v>342</v>
      </c>
    </row>
    <row r="95" spans="1:2" x14ac:dyDescent="0.35">
      <c r="A95" s="9" t="s">
        <v>12</v>
      </c>
      <c r="B95" s="69" t="s">
        <v>301</v>
      </c>
    </row>
    <row r="96" spans="1:2" ht="101.5" x14ac:dyDescent="0.35">
      <c r="A96" s="9" t="s">
        <v>274</v>
      </c>
      <c r="B96" s="69" t="s">
        <v>343</v>
      </c>
    </row>
    <row r="97" spans="1:2" x14ac:dyDescent="0.35">
      <c r="A97" s="9" t="s">
        <v>276</v>
      </c>
      <c r="B97" s="69" t="str">
        <f>Risks!L7</f>
        <v>Structures &amp; Budget (High), Weather, People and Maintenance (Medium)</v>
      </c>
    </row>
    <row r="98" spans="1:2" ht="58" x14ac:dyDescent="0.35">
      <c r="A98" s="9" t="s">
        <v>303</v>
      </c>
      <c r="B98" s="69" t="str">
        <f>Risks!M7</f>
        <v xml:space="preserve">Very high wind zone, snow loading &amp; weather tightness are all construction challenges, visitor group more likely to suffer from exposure in poor weather, wayfinding in poor visibility between bush line &amp; hut , rock fall from scarp onto hut site appears low, high-cost hut &amp;/or track &amp; operational costs </v>
      </c>
    </row>
    <row r="99" spans="1:2" ht="29" x14ac:dyDescent="0.35">
      <c r="A99" s="9" t="s">
        <v>304</v>
      </c>
      <c r="B99" s="69" t="s">
        <v>344</v>
      </c>
    </row>
    <row r="100" spans="1:2" ht="72.5" x14ac:dyDescent="0.35">
      <c r="A100" s="9" t="s">
        <v>282</v>
      </c>
      <c r="B100" s="69" t="s">
        <v>345</v>
      </c>
    </row>
    <row r="101" spans="1:2" ht="43.5" x14ac:dyDescent="0.35">
      <c r="A101" s="9" t="s">
        <v>284</v>
      </c>
      <c r="B101" s="69" t="s">
        <v>346</v>
      </c>
    </row>
    <row r="102" spans="1:2" x14ac:dyDescent="0.35">
      <c r="A102" s="9" t="s">
        <v>286</v>
      </c>
      <c r="B102" s="69" t="s">
        <v>347</v>
      </c>
    </row>
    <row r="103" spans="1:2" x14ac:dyDescent="0.35">
      <c r="A103" s="9" t="s">
        <v>288</v>
      </c>
      <c r="B103" s="208">
        <f>Summary!D24</f>
        <v>8549869.0799999982</v>
      </c>
    </row>
    <row r="104" spans="1:2" x14ac:dyDescent="0.35">
      <c r="A104" s="9" t="s">
        <v>290</v>
      </c>
      <c r="B104" s="208">
        <f>Summary!D29</f>
        <v>251020</v>
      </c>
    </row>
    <row r="105" spans="1:2" ht="43.5" x14ac:dyDescent="0.35">
      <c r="A105" s="9" t="s">
        <v>292</v>
      </c>
      <c r="B105" s="69" t="s">
        <v>348</v>
      </c>
    </row>
    <row r="106" spans="1:2" ht="101.5" x14ac:dyDescent="0.35">
      <c r="A106" s="9" t="s">
        <v>294</v>
      </c>
      <c r="B106" s="69" t="s">
        <v>349</v>
      </c>
    </row>
    <row r="107" spans="1:2" x14ac:dyDescent="0.35">
      <c r="A107" s="34"/>
      <c r="B107" s="51"/>
    </row>
    <row r="108" spans="1:2" x14ac:dyDescent="0.35">
      <c r="A108" s="34"/>
      <c r="B108" s="51"/>
    </row>
    <row r="109" spans="1:2" x14ac:dyDescent="0.35">
      <c r="A109" s="226" t="s">
        <v>350</v>
      </c>
      <c r="B109" s="227"/>
    </row>
    <row r="110" spans="1:2" x14ac:dyDescent="0.35">
      <c r="A110" s="9" t="s">
        <v>6</v>
      </c>
      <c r="B110" s="69">
        <f>Summary!B10</f>
        <v>500</v>
      </c>
    </row>
    <row r="111" spans="1:2" x14ac:dyDescent="0.35">
      <c r="A111" s="9" t="s">
        <v>270</v>
      </c>
      <c r="B111" s="69" t="s">
        <v>351</v>
      </c>
    </row>
    <row r="112" spans="1:2" x14ac:dyDescent="0.35">
      <c r="A112" s="9" t="s">
        <v>12</v>
      </c>
      <c r="B112" s="69" t="s">
        <v>352</v>
      </c>
    </row>
    <row r="113" spans="1:4" ht="29" x14ac:dyDescent="0.35">
      <c r="A113" s="9" t="s">
        <v>274</v>
      </c>
      <c r="B113" s="69" t="s">
        <v>353</v>
      </c>
    </row>
    <row r="114" spans="1:4" x14ac:dyDescent="0.35">
      <c r="A114" s="9" t="s">
        <v>276</v>
      </c>
      <c r="B114" s="69" t="s">
        <v>354</v>
      </c>
    </row>
    <row r="115" spans="1:4" ht="29" x14ac:dyDescent="0.35">
      <c r="A115" s="9" t="s">
        <v>304</v>
      </c>
      <c r="B115" s="69" t="s">
        <v>301</v>
      </c>
    </row>
    <row r="116" spans="1:4" ht="72.5" x14ac:dyDescent="0.35">
      <c r="A116" s="9" t="s">
        <v>282</v>
      </c>
      <c r="B116" s="69" t="s">
        <v>355</v>
      </c>
    </row>
    <row r="117" spans="1:4" x14ac:dyDescent="0.35">
      <c r="A117" s="9" t="s">
        <v>284</v>
      </c>
      <c r="B117" s="69" t="s">
        <v>356</v>
      </c>
    </row>
    <row r="118" spans="1:4" ht="29" x14ac:dyDescent="0.35">
      <c r="A118" s="9" t="s">
        <v>286</v>
      </c>
      <c r="B118" s="69" t="s">
        <v>357</v>
      </c>
      <c r="D118" s="1" t="s">
        <v>358</v>
      </c>
    </row>
    <row r="119" spans="1:4" x14ac:dyDescent="0.35">
      <c r="A119" s="9" t="s">
        <v>288</v>
      </c>
      <c r="B119" s="208">
        <f>Summary!B24</f>
        <v>191880</v>
      </c>
    </row>
    <row r="120" spans="1:4" x14ac:dyDescent="0.35">
      <c r="A120" s="9" t="s">
        <v>290</v>
      </c>
      <c r="B120" s="208">
        <f>Summary!B29</f>
        <v>19840</v>
      </c>
    </row>
    <row r="121" spans="1:4" ht="58" x14ac:dyDescent="0.35">
      <c r="A121" s="9" t="s">
        <v>292</v>
      </c>
      <c r="B121" s="69" t="s">
        <v>359</v>
      </c>
    </row>
    <row r="122" spans="1:4" ht="43.5" x14ac:dyDescent="0.35">
      <c r="A122" s="9" t="s">
        <v>294</v>
      </c>
      <c r="B122" s="69" t="s">
        <v>360</v>
      </c>
    </row>
    <row r="123" spans="1:4" x14ac:dyDescent="0.35">
      <c r="A123" s="34"/>
      <c r="B123" s="51"/>
    </row>
    <row r="124" spans="1:4" x14ac:dyDescent="0.35">
      <c r="A124" s="34"/>
      <c r="B124" s="51"/>
    </row>
    <row r="126" spans="1:4" x14ac:dyDescent="0.35">
      <c r="A126" s="226" t="s">
        <v>361</v>
      </c>
      <c r="B126" s="227"/>
    </row>
    <row r="127" spans="1:4" x14ac:dyDescent="0.35">
      <c r="A127" s="9" t="s">
        <v>6</v>
      </c>
      <c r="B127" s="69">
        <f>LoS!C10</f>
        <v>1300</v>
      </c>
    </row>
    <row r="128" spans="1:4" x14ac:dyDescent="0.35">
      <c r="A128" s="9" t="s">
        <v>270</v>
      </c>
      <c r="B128" s="69" t="s">
        <v>362</v>
      </c>
    </row>
    <row r="129" spans="1:2" x14ac:dyDescent="0.35">
      <c r="A129" s="9" t="s">
        <v>12</v>
      </c>
      <c r="B129" s="69" t="s">
        <v>301</v>
      </c>
    </row>
    <row r="130" spans="1:2" ht="29" x14ac:dyDescent="0.35">
      <c r="A130" s="9" t="s">
        <v>274</v>
      </c>
      <c r="B130" s="69" t="s">
        <v>363</v>
      </c>
    </row>
    <row r="131" spans="1:2" x14ac:dyDescent="0.35">
      <c r="A131" s="9" t="s">
        <v>276</v>
      </c>
      <c r="B131" s="69" t="str">
        <f>Risks!L10</f>
        <v xml:space="preserve"> Flooding &amp; Maintenance (Medium)</v>
      </c>
    </row>
    <row r="132" spans="1:2" ht="43.5" x14ac:dyDescent="0.35">
      <c r="A132" s="9" t="s">
        <v>303</v>
      </c>
      <c r="B132" s="69" t="str">
        <f>Risks!M10</f>
        <v xml:space="preserve">Active shingle fan hazard &amp; associated flood risk to track and bridges, hard-to-place bridges which will be truly resilient due to gravel fan, consider lighter easily relocatable bridges e.g. Lake Howden outlet type. </v>
      </c>
    </row>
    <row r="133" spans="1:2" ht="29" x14ac:dyDescent="0.35">
      <c r="A133" s="9" t="s">
        <v>304</v>
      </c>
      <c r="B133" s="69" t="s">
        <v>301</v>
      </c>
    </row>
    <row r="134" spans="1:2" ht="87" x14ac:dyDescent="0.35">
      <c r="A134" s="9" t="s">
        <v>282</v>
      </c>
      <c r="B134" s="69" t="s">
        <v>364</v>
      </c>
    </row>
    <row r="135" spans="1:2" x14ac:dyDescent="0.35">
      <c r="A135" s="9" t="s">
        <v>284</v>
      </c>
      <c r="B135" s="69" t="s">
        <v>365</v>
      </c>
    </row>
    <row r="136" spans="1:2" x14ac:dyDescent="0.35">
      <c r="A136" s="9" t="s">
        <v>286</v>
      </c>
      <c r="B136" s="69" t="s">
        <v>366</v>
      </c>
    </row>
    <row r="137" spans="1:2" x14ac:dyDescent="0.35">
      <c r="A137" s="9" t="s">
        <v>288</v>
      </c>
      <c r="B137" s="208">
        <f>Summary!C24</f>
        <v>744712.18714285712</v>
      </c>
    </row>
    <row r="138" spans="1:2" x14ac:dyDescent="0.35">
      <c r="A138" s="9" t="s">
        <v>290</v>
      </c>
      <c r="B138" s="208">
        <f>Summary!C29</f>
        <v>60880</v>
      </c>
    </row>
    <row r="139" spans="1:2" ht="72.5" x14ac:dyDescent="0.35">
      <c r="A139" s="9" t="s">
        <v>292</v>
      </c>
      <c r="B139" s="69" t="s">
        <v>367</v>
      </c>
    </row>
    <row r="140" spans="1:2" ht="43.5" x14ac:dyDescent="0.35">
      <c r="A140" s="9" t="s">
        <v>294</v>
      </c>
      <c r="B140" s="69" t="s">
        <v>368</v>
      </c>
    </row>
    <row r="142" spans="1:2" x14ac:dyDescent="0.35">
      <c r="A142" s="226" t="s">
        <v>369</v>
      </c>
      <c r="B142" s="227"/>
    </row>
    <row r="143" spans="1:2" x14ac:dyDescent="0.35">
      <c r="A143" s="9" t="s">
        <v>6</v>
      </c>
      <c r="B143" s="69">
        <f>Cost!D71</f>
        <v>1400</v>
      </c>
    </row>
    <row r="144" spans="1:2" x14ac:dyDescent="0.35">
      <c r="A144" s="9" t="s">
        <v>370</v>
      </c>
      <c r="B144" s="69" t="s">
        <v>351</v>
      </c>
    </row>
    <row r="145" spans="1:2" ht="58" x14ac:dyDescent="0.35">
      <c r="A145" s="9" t="s">
        <v>371</v>
      </c>
      <c r="B145" s="69" t="s">
        <v>372</v>
      </c>
    </row>
    <row r="146" spans="1:2" ht="29" x14ac:dyDescent="0.35">
      <c r="A146" s="9" t="s">
        <v>373</v>
      </c>
      <c r="B146" s="69" t="s">
        <v>374</v>
      </c>
    </row>
    <row r="147" spans="1:2" ht="29" x14ac:dyDescent="0.35">
      <c r="A147" s="9" t="s">
        <v>284</v>
      </c>
      <c r="B147" s="69" t="s">
        <v>375</v>
      </c>
    </row>
    <row r="148" spans="1:2" ht="29" x14ac:dyDescent="0.35">
      <c r="A148" s="9" t="s">
        <v>286</v>
      </c>
      <c r="B148" s="69" t="s">
        <v>376</v>
      </c>
    </row>
    <row r="149" spans="1:2" x14ac:dyDescent="0.35">
      <c r="A149" s="9" t="s">
        <v>288</v>
      </c>
      <c r="B149" s="211">
        <f>Summary!F24</f>
        <v>163800</v>
      </c>
    </row>
    <row r="150" spans="1:2" x14ac:dyDescent="0.35">
      <c r="A150" s="9" t="s">
        <v>290</v>
      </c>
      <c r="B150" s="211">
        <f>Summary!F29</f>
        <v>28730</v>
      </c>
    </row>
    <row r="151" spans="1:2" ht="29" x14ac:dyDescent="0.35">
      <c r="A151" s="9" t="s">
        <v>292</v>
      </c>
      <c r="B151" s="69" t="s">
        <v>377</v>
      </c>
    </row>
    <row r="154" spans="1:2" x14ac:dyDescent="0.35">
      <c r="A154" s="226" t="s">
        <v>378</v>
      </c>
      <c r="B154" s="227"/>
    </row>
    <row r="155" spans="1:2" x14ac:dyDescent="0.35">
      <c r="A155" s="9" t="s">
        <v>6</v>
      </c>
      <c r="B155" s="69">
        <f>LoS!C34</f>
        <v>17200</v>
      </c>
    </row>
    <row r="156" spans="1:2" x14ac:dyDescent="0.35">
      <c r="A156" s="9" t="s">
        <v>270</v>
      </c>
      <c r="B156" s="69" t="s">
        <v>379</v>
      </c>
    </row>
    <row r="157" spans="1:2" x14ac:dyDescent="0.35">
      <c r="A157" s="9" t="s">
        <v>12</v>
      </c>
      <c r="B157" s="69" t="s">
        <v>301</v>
      </c>
    </row>
    <row r="158" spans="1:2" ht="29" x14ac:dyDescent="0.35">
      <c r="A158" s="9" t="s">
        <v>274</v>
      </c>
      <c r="B158" s="69" t="s">
        <v>380</v>
      </c>
    </row>
    <row r="159" spans="1:2" x14ac:dyDescent="0.35">
      <c r="A159" s="9" t="s">
        <v>276</v>
      </c>
      <c r="B159" s="69" t="str">
        <f>Risks!L11</f>
        <v>Weather &amp; people (High), Bridges &amp; Avalanche (Medium)</v>
      </c>
    </row>
    <row r="160" spans="1:2" ht="58" x14ac:dyDescent="0.35">
      <c r="A160" s="9" t="s">
        <v>303</v>
      </c>
      <c r="B160" s="69" t="str">
        <f>Risks!M11</f>
        <v>Exposed tops travel subject to high winds, poor visibility/bad weather and avalanche potential,  people getting lost on tops or hypothermia from exposure in poor weather, day length to long for visitor group resulting in getting 'caught out', bridges over Cascade Creek critical to achieve track standard</v>
      </c>
    </row>
    <row r="161" spans="1:2" ht="29" x14ac:dyDescent="0.35">
      <c r="A161" s="9" t="s">
        <v>304</v>
      </c>
      <c r="B161" s="69" t="s">
        <v>301</v>
      </c>
    </row>
    <row r="162" spans="1:2" ht="72.5" x14ac:dyDescent="0.35">
      <c r="A162" s="9" t="s">
        <v>282</v>
      </c>
      <c r="B162" s="69" t="s">
        <v>381</v>
      </c>
    </row>
    <row r="163" spans="1:2" ht="58" x14ac:dyDescent="0.35">
      <c r="A163" s="9" t="s">
        <v>382</v>
      </c>
      <c r="B163" s="69" t="s">
        <v>383</v>
      </c>
    </row>
    <row r="164" spans="1:2" ht="29" x14ac:dyDescent="0.35">
      <c r="A164" s="9" t="s">
        <v>284</v>
      </c>
      <c r="B164" s="69" t="s">
        <v>384</v>
      </c>
    </row>
    <row r="165" spans="1:2" ht="29" x14ac:dyDescent="0.35">
      <c r="A165" s="9" t="s">
        <v>286</v>
      </c>
      <c r="B165" s="69" t="s">
        <v>385</v>
      </c>
    </row>
    <row r="166" spans="1:2" x14ac:dyDescent="0.35">
      <c r="A166" s="9" t="s">
        <v>288</v>
      </c>
      <c r="B166" s="208">
        <f>Summary!P24</f>
        <v>721445.4</v>
      </c>
    </row>
    <row r="167" spans="1:2" x14ac:dyDescent="0.35">
      <c r="A167" s="9" t="s">
        <v>290</v>
      </c>
      <c r="B167" s="208">
        <f>Summary!P29</f>
        <v>35448</v>
      </c>
    </row>
    <row r="168" spans="1:2" ht="43.5" x14ac:dyDescent="0.35">
      <c r="A168" s="9" t="s">
        <v>292</v>
      </c>
      <c r="B168" s="69" t="s">
        <v>386</v>
      </c>
    </row>
    <row r="169" spans="1:2" ht="58" x14ac:dyDescent="0.35">
      <c r="A169" s="9" t="s">
        <v>294</v>
      </c>
      <c r="B169" s="69" t="s">
        <v>387</v>
      </c>
    </row>
    <row r="173" spans="1:2" ht="15" customHeight="1" x14ac:dyDescent="0.35">
      <c r="A173" s="226" t="s">
        <v>388</v>
      </c>
      <c r="B173" s="227"/>
    </row>
    <row r="174" spans="1:2" x14ac:dyDescent="0.35">
      <c r="A174" s="9" t="s">
        <v>6</v>
      </c>
      <c r="B174" s="69">
        <f>LoS!C33</f>
        <v>17200</v>
      </c>
    </row>
    <row r="175" spans="1:2" x14ac:dyDescent="0.35">
      <c r="A175" s="9" t="s">
        <v>270</v>
      </c>
      <c r="B175" s="69" t="s">
        <v>389</v>
      </c>
    </row>
    <row r="176" spans="1:2" x14ac:dyDescent="0.35">
      <c r="A176" s="9" t="s">
        <v>12</v>
      </c>
      <c r="B176" s="69" t="s">
        <v>301</v>
      </c>
    </row>
    <row r="177" spans="1:2" ht="58" x14ac:dyDescent="0.35">
      <c r="A177" s="9" t="s">
        <v>274</v>
      </c>
      <c r="B177" s="69" t="s">
        <v>390</v>
      </c>
    </row>
    <row r="178" spans="1:2" x14ac:dyDescent="0.35">
      <c r="A178" s="9" t="s">
        <v>276</v>
      </c>
      <c r="B178" s="69" t="str">
        <f>Risks!L12</f>
        <v>Weather, People &amp; Avalanches (Medium)</v>
      </c>
    </row>
    <row r="179" spans="1:2" ht="58" x14ac:dyDescent="0.35">
      <c r="A179" s="9" t="s">
        <v>303</v>
      </c>
      <c r="B179" s="69" t="str">
        <f>Risks!M12</f>
        <v xml:space="preserve">Exposed tops travel subject to high winds, poor visibility/bad weather and avalanche potential,  people getting lost on tops or hypothermia from exposure in poor weather, day length quite long for visitor group could mean camping on tops becomes popular, route adversely impacted by high water in Cascade Creek as river crossing mandatory. </v>
      </c>
    </row>
    <row r="180" spans="1:2" ht="72.5" x14ac:dyDescent="0.35">
      <c r="A180" s="9" t="s">
        <v>304</v>
      </c>
      <c r="B180" s="69" t="s">
        <v>391</v>
      </c>
    </row>
    <row r="181" spans="1:2" ht="29" x14ac:dyDescent="0.35">
      <c r="A181" s="9" t="s">
        <v>282</v>
      </c>
      <c r="B181" s="69" t="s">
        <v>392</v>
      </c>
    </row>
    <row r="182" spans="1:2" ht="58" x14ac:dyDescent="0.35">
      <c r="A182" s="9" t="s">
        <v>284</v>
      </c>
      <c r="B182" s="69" t="s">
        <v>393</v>
      </c>
    </row>
    <row r="183" spans="1:2" ht="29" x14ac:dyDescent="0.35">
      <c r="A183" s="9" t="s">
        <v>286</v>
      </c>
      <c r="B183" s="69" t="s">
        <v>394</v>
      </c>
    </row>
    <row r="184" spans="1:2" x14ac:dyDescent="0.35">
      <c r="A184" s="9" t="s">
        <v>288</v>
      </c>
      <c r="B184" s="208">
        <f>Summary!O24</f>
        <v>5342861.8285714276</v>
      </c>
    </row>
    <row r="185" spans="1:2" x14ac:dyDescent="0.35">
      <c r="A185" s="9" t="s">
        <v>290</v>
      </c>
      <c r="B185" s="208">
        <f>Summary!O29</f>
        <v>51120</v>
      </c>
    </row>
    <row r="186" spans="1:2" ht="43.5" x14ac:dyDescent="0.35">
      <c r="A186" s="9" t="s">
        <v>292</v>
      </c>
      <c r="B186" s="69" t="s">
        <v>395</v>
      </c>
    </row>
    <row r="187" spans="1:2" ht="29" x14ac:dyDescent="0.35">
      <c r="A187" s="9" t="s">
        <v>294</v>
      </c>
      <c r="B187" s="69" t="s">
        <v>396</v>
      </c>
    </row>
    <row r="191" spans="1:2" x14ac:dyDescent="0.35">
      <c r="A191" s="226" t="s">
        <v>397</v>
      </c>
      <c r="B191" s="227"/>
    </row>
    <row r="192" spans="1:2" x14ac:dyDescent="0.35">
      <c r="A192" s="9" t="s">
        <v>6</v>
      </c>
      <c r="B192" s="69">
        <f>LoS!C30</f>
        <v>3200</v>
      </c>
    </row>
    <row r="193" spans="1:2" x14ac:dyDescent="0.35">
      <c r="A193" s="9" t="s">
        <v>270</v>
      </c>
      <c r="B193" s="69" t="s">
        <v>389</v>
      </c>
    </row>
    <row r="194" spans="1:2" x14ac:dyDescent="0.35">
      <c r="A194" s="9" t="s">
        <v>12</v>
      </c>
      <c r="B194" s="69" t="s">
        <v>301</v>
      </c>
    </row>
    <row r="195" spans="1:2" ht="101.5" x14ac:dyDescent="0.35">
      <c r="A195" s="9" t="s">
        <v>274</v>
      </c>
      <c r="B195" s="69" t="s">
        <v>398</v>
      </c>
    </row>
    <row r="196" spans="1:2" x14ac:dyDescent="0.35">
      <c r="A196" s="9" t="s">
        <v>276</v>
      </c>
      <c r="B196" s="69" t="str">
        <f>Risks!L14</f>
        <v>Landslides, Flooding &amp; Maintenance (Medium), Bridges &amp; Budget (High)</v>
      </c>
    </row>
    <row r="197" spans="1:2" ht="58" x14ac:dyDescent="0.35">
      <c r="A197" s="9" t="s">
        <v>303</v>
      </c>
      <c r="B197" s="69" t="str">
        <f>Risks!M14</f>
        <v>Bridge over lower Marian Creek critical to success, flood hazard from Marian Creek and side streams appears high based on True right, rock fall in steep sided U-shaped valley, avalanche risk from snowfields above, high build cost due to large bouldery terrain and need to form uniform surface in dense forest</v>
      </c>
    </row>
    <row r="198" spans="1:2" ht="29" x14ac:dyDescent="0.35">
      <c r="A198" s="9" t="s">
        <v>304</v>
      </c>
      <c r="B198" s="69" t="s">
        <v>301</v>
      </c>
    </row>
    <row r="199" spans="1:2" ht="58" x14ac:dyDescent="0.35">
      <c r="A199" s="9" t="s">
        <v>282</v>
      </c>
      <c r="B199" s="69" t="s">
        <v>399</v>
      </c>
    </row>
    <row r="200" spans="1:2" x14ac:dyDescent="0.35">
      <c r="A200" s="9" t="s">
        <v>284</v>
      </c>
      <c r="B200" s="69" t="s">
        <v>400</v>
      </c>
    </row>
    <row r="201" spans="1:2" ht="29" x14ac:dyDescent="0.35">
      <c r="A201" s="9" t="s">
        <v>286</v>
      </c>
      <c r="B201" s="69" t="s">
        <v>401</v>
      </c>
    </row>
    <row r="202" spans="1:2" x14ac:dyDescent="0.35">
      <c r="A202" s="9" t="s">
        <v>288</v>
      </c>
      <c r="B202" s="208">
        <f>Summary!I24</f>
        <v>2047032</v>
      </c>
    </row>
    <row r="203" spans="1:2" x14ac:dyDescent="0.35">
      <c r="A203" s="9" t="s">
        <v>290</v>
      </c>
      <c r="B203" s="208">
        <f>Summary!I29</f>
        <v>85590</v>
      </c>
    </row>
    <row r="204" spans="1:2" ht="72.5" x14ac:dyDescent="0.35">
      <c r="A204" s="9" t="s">
        <v>292</v>
      </c>
      <c r="B204" s="69" t="s">
        <v>402</v>
      </c>
    </row>
    <row r="205" spans="1:2" ht="101.5" x14ac:dyDescent="0.35">
      <c r="A205" s="9" t="s">
        <v>294</v>
      </c>
      <c r="B205" s="69" t="s">
        <v>403</v>
      </c>
    </row>
    <row r="208" spans="1:2" x14ac:dyDescent="0.35">
      <c r="A208" s="226" t="s">
        <v>404</v>
      </c>
      <c r="B208" s="227"/>
    </row>
    <row r="209" spans="1:2" x14ac:dyDescent="0.35">
      <c r="A209" s="9" t="s">
        <v>6</v>
      </c>
      <c r="B209" s="69">
        <f>LoS!C28</f>
        <v>750</v>
      </c>
    </row>
    <row r="210" spans="1:2" x14ac:dyDescent="0.35">
      <c r="A210" s="9" t="s">
        <v>270</v>
      </c>
      <c r="B210" s="69" t="s">
        <v>405</v>
      </c>
    </row>
    <row r="211" spans="1:2" x14ac:dyDescent="0.35">
      <c r="A211" s="9" t="s">
        <v>12</v>
      </c>
      <c r="B211" s="69" t="s">
        <v>301</v>
      </c>
    </row>
    <row r="212" spans="1:2" ht="29" x14ac:dyDescent="0.35">
      <c r="A212" s="9" t="s">
        <v>274</v>
      </c>
      <c r="B212" s="69" t="s">
        <v>406</v>
      </c>
    </row>
    <row r="213" spans="1:2" x14ac:dyDescent="0.35">
      <c r="A213" s="9" t="s">
        <v>276</v>
      </c>
      <c r="B213" s="69" t="s">
        <v>353</v>
      </c>
    </row>
    <row r="214" spans="1:2" ht="29" x14ac:dyDescent="0.35">
      <c r="A214" s="9" t="s">
        <v>304</v>
      </c>
      <c r="B214" s="69" t="s">
        <v>301</v>
      </c>
    </row>
    <row r="215" spans="1:2" ht="58" x14ac:dyDescent="0.35">
      <c r="A215" s="9" t="s">
        <v>282</v>
      </c>
      <c r="B215" s="69" t="s">
        <v>407</v>
      </c>
    </row>
    <row r="216" spans="1:2" x14ac:dyDescent="0.35">
      <c r="A216" s="9" t="s">
        <v>284</v>
      </c>
      <c r="B216" s="69" t="s">
        <v>408</v>
      </c>
    </row>
    <row r="217" spans="1:2" x14ac:dyDescent="0.35">
      <c r="A217" s="9" t="s">
        <v>286</v>
      </c>
      <c r="B217" s="69" t="s">
        <v>409</v>
      </c>
    </row>
    <row r="218" spans="1:2" x14ac:dyDescent="0.35">
      <c r="A218" s="9" t="s">
        <v>288</v>
      </c>
      <c r="B218" s="208">
        <f>Summary!G24</f>
        <v>598665.6</v>
      </c>
    </row>
    <row r="219" spans="1:2" x14ac:dyDescent="0.35">
      <c r="A219" s="9" t="s">
        <v>290</v>
      </c>
      <c r="B219" s="208">
        <f>Summary!G29</f>
        <v>24240</v>
      </c>
    </row>
    <row r="220" spans="1:2" ht="43.5" x14ac:dyDescent="0.35">
      <c r="A220" s="9" t="s">
        <v>292</v>
      </c>
      <c r="B220" s="69" t="s">
        <v>410</v>
      </c>
    </row>
    <row r="221" spans="1:2" ht="29" x14ac:dyDescent="0.35">
      <c r="A221" s="9" t="s">
        <v>294</v>
      </c>
      <c r="B221" s="69" t="s">
        <v>411</v>
      </c>
    </row>
    <row r="224" spans="1:2" x14ac:dyDescent="0.35">
      <c r="A224" s="226" t="s">
        <v>412</v>
      </c>
      <c r="B224" s="227"/>
    </row>
    <row r="225" spans="1:2" x14ac:dyDescent="0.35">
      <c r="A225" s="9" t="s">
        <v>6</v>
      </c>
      <c r="B225" s="69">
        <f>LoS!C29</f>
        <v>2370</v>
      </c>
    </row>
    <row r="226" spans="1:2" x14ac:dyDescent="0.35">
      <c r="A226" s="9" t="s">
        <v>270</v>
      </c>
      <c r="B226" s="69" t="s">
        <v>413</v>
      </c>
    </row>
    <row r="227" spans="1:2" x14ac:dyDescent="0.35">
      <c r="A227" s="9" t="s">
        <v>12</v>
      </c>
      <c r="B227" s="69" t="s">
        <v>301</v>
      </c>
    </row>
    <row r="228" spans="1:2" ht="29" x14ac:dyDescent="0.35">
      <c r="A228" s="9" t="s">
        <v>274</v>
      </c>
      <c r="B228" s="69" t="s">
        <v>353</v>
      </c>
    </row>
    <row r="229" spans="1:2" x14ac:dyDescent="0.35">
      <c r="A229" s="9" t="s">
        <v>276</v>
      </c>
      <c r="B229" s="69" t="s">
        <v>353</v>
      </c>
    </row>
    <row r="230" spans="1:2" ht="29" x14ac:dyDescent="0.35">
      <c r="A230" s="9" t="s">
        <v>304</v>
      </c>
      <c r="B230" s="69" t="s">
        <v>301</v>
      </c>
    </row>
    <row r="231" spans="1:2" ht="43.5" x14ac:dyDescent="0.35">
      <c r="A231" s="9" t="s">
        <v>282</v>
      </c>
      <c r="B231" s="69" t="s">
        <v>414</v>
      </c>
    </row>
    <row r="232" spans="1:2" x14ac:dyDescent="0.35">
      <c r="A232" s="9" t="s">
        <v>284</v>
      </c>
      <c r="B232" s="69" t="s">
        <v>415</v>
      </c>
    </row>
    <row r="233" spans="1:2" ht="29" x14ac:dyDescent="0.35">
      <c r="A233" s="9" t="s">
        <v>286</v>
      </c>
      <c r="B233" s="69" t="s">
        <v>416</v>
      </c>
    </row>
    <row r="234" spans="1:2" x14ac:dyDescent="0.35">
      <c r="A234" s="9" t="s">
        <v>288</v>
      </c>
      <c r="B234" s="208">
        <f>Summary!H24</f>
        <v>1178299.98</v>
      </c>
    </row>
    <row r="235" spans="1:2" x14ac:dyDescent="0.35">
      <c r="A235" s="9" t="s">
        <v>290</v>
      </c>
      <c r="B235" s="208">
        <f>Summary!H29</f>
        <v>34160</v>
      </c>
    </row>
    <row r="236" spans="1:2" ht="72.5" x14ac:dyDescent="0.35">
      <c r="A236" s="9" t="s">
        <v>292</v>
      </c>
      <c r="B236" s="69" t="s">
        <v>417</v>
      </c>
    </row>
    <row r="237" spans="1:2" ht="58" x14ac:dyDescent="0.35">
      <c r="A237" s="9" t="s">
        <v>294</v>
      </c>
      <c r="B237" s="69" t="s">
        <v>418</v>
      </c>
    </row>
    <row r="238" spans="1:2" x14ac:dyDescent="0.35">
      <c r="A238" s="34"/>
      <c r="B238" s="51"/>
    </row>
    <row r="239" spans="1:2" x14ac:dyDescent="0.35">
      <c r="A239" s="226" t="s">
        <v>419</v>
      </c>
      <c r="B239" s="227"/>
    </row>
    <row r="240" spans="1:2" x14ac:dyDescent="0.35">
      <c r="A240" s="9" t="s">
        <v>6</v>
      </c>
      <c r="B240" s="69">
        <v>500</v>
      </c>
    </row>
    <row r="241" spans="1:2" x14ac:dyDescent="0.35">
      <c r="A241" s="9" t="s">
        <v>270</v>
      </c>
      <c r="B241" s="69" t="s">
        <v>420</v>
      </c>
    </row>
    <row r="242" spans="1:2" x14ac:dyDescent="0.35">
      <c r="A242" s="9" t="s">
        <v>12</v>
      </c>
      <c r="B242" s="69" t="s">
        <v>301</v>
      </c>
    </row>
    <row r="243" spans="1:2" ht="58" x14ac:dyDescent="0.35">
      <c r="A243" s="9" t="s">
        <v>274</v>
      </c>
      <c r="B243" s="69" t="s">
        <v>421</v>
      </c>
    </row>
    <row r="244" spans="1:2" x14ac:dyDescent="0.35">
      <c r="A244" s="9" t="s">
        <v>276</v>
      </c>
      <c r="B244" s="69" t="s">
        <v>422</v>
      </c>
    </row>
    <row r="245" spans="1:2" x14ac:dyDescent="0.35">
      <c r="A245" s="9" t="s">
        <v>303</v>
      </c>
      <c r="B245" s="69" t="s">
        <v>423</v>
      </c>
    </row>
    <row r="246" spans="1:2" ht="29" x14ac:dyDescent="0.35">
      <c r="A246" s="9" t="s">
        <v>304</v>
      </c>
      <c r="B246" s="69" t="s">
        <v>424</v>
      </c>
    </row>
    <row r="247" spans="1:2" ht="29" x14ac:dyDescent="0.35">
      <c r="A247" s="9" t="s">
        <v>282</v>
      </c>
      <c r="B247" s="69" t="s">
        <v>425</v>
      </c>
    </row>
    <row r="248" spans="1:2" x14ac:dyDescent="0.35">
      <c r="A248" s="9" t="s">
        <v>284</v>
      </c>
      <c r="B248" s="69" t="s">
        <v>426</v>
      </c>
    </row>
    <row r="249" spans="1:2" x14ac:dyDescent="0.35">
      <c r="A249" s="9" t="s">
        <v>286</v>
      </c>
      <c r="B249" s="69" t="s">
        <v>409</v>
      </c>
    </row>
    <row r="250" spans="1:2" x14ac:dyDescent="0.35">
      <c r="A250" s="9" t="s">
        <v>288</v>
      </c>
      <c r="B250" s="208">
        <f>Summary!J24</f>
        <v>1453526.1</v>
      </c>
    </row>
    <row r="251" spans="1:2" x14ac:dyDescent="0.35">
      <c r="A251" s="9" t="s">
        <v>290</v>
      </c>
      <c r="B251" s="208">
        <f>Summary!J29</f>
        <v>51280</v>
      </c>
    </row>
    <row r="252" spans="1:2" ht="43.5" x14ac:dyDescent="0.35">
      <c r="A252" s="9" t="s">
        <v>292</v>
      </c>
      <c r="B252" s="69" t="s">
        <v>427</v>
      </c>
    </row>
    <row r="253" spans="1:2" ht="43.5" x14ac:dyDescent="0.35">
      <c r="A253" s="9" t="s">
        <v>294</v>
      </c>
      <c r="B253" s="69" t="s">
        <v>428</v>
      </c>
    </row>
    <row r="254" spans="1:2" x14ac:dyDescent="0.35">
      <c r="A254" s="34"/>
      <c r="B254" s="51"/>
    </row>
    <row r="255" spans="1:2" x14ac:dyDescent="0.35">
      <c r="A255" s="34"/>
      <c r="B255" s="51"/>
    </row>
    <row r="258" spans="1:2" x14ac:dyDescent="0.35">
      <c r="A258" s="226" t="s">
        <v>429</v>
      </c>
      <c r="B258" s="227"/>
    </row>
    <row r="259" spans="1:2" x14ac:dyDescent="0.35">
      <c r="A259" s="9" t="s">
        <v>6</v>
      </c>
      <c r="B259" s="69">
        <f>LoS!C31</f>
        <v>330</v>
      </c>
    </row>
    <row r="260" spans="1:2" x14ac:dyDescent="0.35">
      <c r="A260" s="9" t="s">
        <v>270</v>
      </c>
      <c r="B260" s="69" t="s">
        <v>430</v>
      </c>
    </row>
    <row r="261" spans="1:2" x14ac:dyDescent="0.35">
      <c r="A261" s="9" t="s">
        <v>12</v>
      </c>
      <c r="B261" s="69" t="s">
        <v>301</v>
      </c>
    </row>
    <row r="262" spans="1:2" ht="29" x14ac:dyDescent="0.35">
      <c r="A262" s="9" t="s">
        <v>274</v>
      </c>
      <c r="B262" s="69" t="s">
        <v>431</v>
      </c>
    </row>
    <row r="263" spans="1:2" x14ac:dyDescent="0.35">
      <c r="A263" s="9" t="s">
        <v>276</v>
      </c>
      <c r="B263" s="69" t="str">
        <f>Risks!L15</f>
        <v xml:space="preserve"> Structures, Budget &amp; Maintenance (High)</v>
      </c>
    </row>
    <row r="264" spans="1:2" ht="43.5" x14ac:dyDescent="0.35">
      <c r="A264" s="9" t="s">
        <v>303</v>
      </c>
      <c r="B264" s="69" t="str">
        <f>Risks!M15</f>
        <v>If crossing Hollyford River then suspension bridge upgrade required, high initial cost for covered trail, high maintenance requirements to maintain level of service especially if tree falls onto structures</v>
      </c>
    </row>
    <row r="265" spans="1:2" ht="29" x14ac:dyDescent="0.35">
      <c r="A265" s="9" t="s">
        <v>304</v>
      </c>
      <c r="B265" s="69" t="s">
        <v>432</v>
      </c>
    </row>
    <row r="266" spans="1:2" ht="87" x14ac:dyDescent="0.35">
      <c r="A266" s="9" t="s">
        <v>282</v>
      </c>
      <c r="B266" s="69" t="s">
        <v>433</v>
      </c>
    </row>
    <row r="267" spans="1:2" ht="58" x14ac:dyDescent="0.35">
      <c r="A267" s="9" t="s">
        <v>284</v>
      </c>
      <c r="B267" s="69" t="s">
        <v>434</v>
      </c>
    </row>
    <row r="268" spans="1:2" ht="29" x14ac:dyDescent="0.35">
      <c r="A268" s="9" t="s">
        <v>286</v>
      </c>
      <c r="B268" s="69" t="s">
        <v>435</v>
      </c>
    </row>
    <row r="269" spans="1:2" x14ac:dyDescent="0.35">
      <c r="A269" s="9" t="s">
        <v>288</v>
      </c>
      <c r="B269" s="208">
        <f>Summary!K24</f>
        <v>1517537.97</v>
      </c>
    </row>
    <row r="270" spans="1:2" x14ac:dyDescent="0.35">
      <c r="A270" s="9" t="s">
        <v>290</v>
      </c>
      <c r="B270" s="208">
        <f>Summary!K29</f>
        <v>82208</v>
      </c>
    </row>
    <row r="271" spans="1:2" ht="58" x14ac:dyDescent="0.35">
      <c r="A271" s="9" t="s">
        <v>292</v>
      </c>
      <c r="B271" s="69" t="s">
        <v>436</v>
      </c>
    </row>
    <row r="272" spans="1:2" ht="101.5" x14ac:dyDescent="0.35">
      <c r="A272" s="9" t="s">
        <v>294</v>
      </c>
      <c r="B272" s="69" t="s">
        <v>437</v>
      </c>
    </row>
    <row r="275" spans="1:2" x14ac:dyDescent="0.35">
      <c r="A275" s="226" t="s">
        <v>166</v>
      </c>
      <c r="B275" s="227"/>
    </row>
    <row r="276" spans="1:2" x14ac:dyDescent="0.35">
      <c r="A276" s="9" t="s">
        <v>6</v>
      </c>
      <c r="B276" s="69">
        <f>LoS!C32</f>
        <v>3000</v>
      </c>
    </row>
    <row r="277" spans="1:2" x14ac:dyDescent="0.35">
      <c r="A277" s="9" t="s">
        <v>270</v>
      </c>
      <c r="B277" s="69" t="s">
        <v>438</v>
      </c>
    </row>
    <row r="278" spans="1:2" x14ac:dyDescent="0.35">
      <c r="A278" s="9" t="s">
        <v>12</v>
      </c>
      <c r="B278" s="69" t="s">
        <v>301</v>
      </c>
    </row>
    <row r="279" spans="1:2" ht="29" x14ac:dyDescent="0.35">
      <c r="A279" s="9" t="s">
        <v>274</v>
      </c>
      <c r="B279" s="69" t="s">
        <v>439</v>
      </c>
    </row>
    <row r="280" spans="1:2" x14ac:dyDescent="0.35">
      <c r="A280" s="9" t="s">
        <v>276</v>
      </c>
      <c r="B280" s="69" t="str">
        <f>Risks!L16</f>
        <v>Maintenance (Medium)</v>
      </c>
    </row>
    <row r="281" spans="1:2" ht="29" x14ac:dyDescent="0.35">
      <c r="A281" s="9" t="s">
        <v>303</v>
      </c>
      <c r="B281" s="69" t="str">
        <f>Risks!M16</f>
        <v>Track route across moderately steep terrain subject to windfall and landslides, higher ongoing maintenance requirements to meet track standards</v>
      </c>
    </row>
    <row r="282" spans="1:2" ht="29" x14ac:dyDescent="0.35">
      <c r="A282" s="9" t="s">
        <v>304</v>
      </c>
      <c r="B282" s="69" t="s">
        <v>301</v>
      </c>
    </row>
    <row r="283" spans="1:2" ht="43.5" x14ac:dyDescent="0.35">
      <c r="A283" s="9" t="s">
        <v>282</v>
      </c>
      <c r="B283" s="69" t="s">
        <v>440</v>
      </c>
    </row>
    <row r="284" spans="1:2" x14ac:dyDescent="0.35">
      <c r="A284" s="9" t="s">
        <v>284</v>
      </c>
      <c r="B284" s="69" t="s">
        <v>441</v>
      </c>
    </row>
    <row r="285" spans="1:2" x14ac:dyDescent="0.35">
      <c r="A285" s="9" t="s">
        <v>286</v>
      </c>
      <c r="B285" s="69" t="s">
        <v>442</v>
      </c>
    </row>
    <row r="286" spans="1:2" x14ac:dyDescent="0.35">
      <c r="A286" s="9" t="s">
        <v>288</v>
      </c>
      <c r="B286" s="208">
        <f>Summary!S24</f>
        <v>1456299</v>
      </c>
    </row>
    <row r="287" spans="1:2" x14ac:dyDescent="0.35">
      <c r="A287" s="9" t="s">
        <v>290</v>
      </c>
      <c r="B287" s="208">
        <f>Summary!S29</f>
        <v>24560</v>
      </c>
    </row>
    <row r="288" spans="1:2" ht="29" x14ac:dyDescent="0.35">
      <c r="A288" s="9" t="s">
        <v>292</v>
      </c>
      <c r="B288" s="69" t="s">
        <v>443</v>
      </c>
    </row>
    <row r="289" spans="1:2" ht="72.5" x14ac:dyDescent="0.35">
      <c r="A289" s="9" t="s">
        <v>294</v>
      </c>
      <c r="B289" s="69" t="s">
        <v>444</v>
      </c>
    </row>
    <row r="290" spans="1:2" x14ac:dyDescent="0.35">
      <c r="A290" s="34"/>
      <c r="B290" s="51"/>
    </row>
    <row r="291" spans="1:2" x14ac:dyDescent="0.35">
      <c r="A291" s="34"/>
      <c r="B291" s="51"/>
    </row>
    <row r="292" spans="1:2" x14ac:dyDescent="0.35">
      <c r="A292" s="226" t="s">
        <v>201</v>
      </c>
      <c r="B292" s="227"/>
    </row>
    <row r="293" spans="1:2" x14ac:dyDescent="0.35">
      <c r="A293" s="9" t="s">
        <v>6</v>
      </c>
      <c r="B293" s="69">
        <f>LoS!C37</f>
        <v>3200</v>
      </c>
    </row>
    <row r="294" spans="1:2" x14ac:dyDescent="0.35">
      <c r="A294" s="9" t="s">
        <v>270</v>
      </c>
      <c r="B294" s="69" t="s">
        <v>445</v>
      </c>
    </row>
    <row r="295" spans="1:2" ht="15" customHeight="1" x14ac:dyDescent="0.35">
      <c r="A295" s="9" t="s">
        <v>12</v>
      </c>
      <c r="B295" s="69" t="s">
        <v>301</v>
      </c>
    </row>
    <row r="296" spans="1:2" ht="29" x14ac:dyDescent="0.35">
      <c r="A296" s="9" t="s">
        <v>274</v>
      </c>
      <c r="B296" s="69" t="s">
        <v>446</v>
      </c>
    </row>
    <row r="297" spans="1:2" x14ac:dyDescent="0.35">
      <c r="A297" s="9" t="s">
        <v>276</v>
      </c>
      <c r="B297" s="69" t="s">
        <v>447</v>
      </c>
    </row>
    <row r="298" spans="1:2" ht="29" x14ac:dyDescent="0.35">
      <c r="A298" s="9" t="s">
        <v>304</v>
      </c>
      <c r="B298" s="69" t="s">
        <v>432</v>
      </c>
    </row>
    <row r="299" spans="1:2" ht="43.5" x14ac:dyDescent="0.35">
      <c r="A299" s="9" t="s">
        <v>282</v>
      </c>
      <c r="B299" s="69" t="s">
        <v>448</v>
      </c>
    </row>
    <row r="300" spans="1:2" x14ac:dyDescent="0.35">
      <c r="A300" s="9" t="s">
        <v>284</v>
      </c>
      <c r="B300" s="69" t="s">
        <v>449</v>
      </c>
    </row>
    <row r="301" spans="1:2" ht="29" x14ac:dyDescent="0.35">
      <c r="A301" s="9" t="s">
        <v>286</v>
      </c>
      <c r="B301" s="69" t="s">
        <v>450</v>
      </c>
    </row>
    <row r="302" spans="1:2" x14ac:dyDescent="0.35">
      <c r="A302" s="9" t="s">
        <v>288</v>
      </c>
      <c r="B302" s="208">
        <f>Summary!T24</f>
        <v>1166423.142857143</v>
      </c>
    </row>
    <row r="303" spans="1:2" x14ac:dyDescent="0.35">
      <c r="A303" s="9" t="s">
        <v>290</v>
      </c>
      <c r="B303" s="208">
        <f>Summary!T29</f>
        <v>29360</v>
      </c>
    </row>
    <row r="304" spans="1:2" ht="43.5" x14ac:dyDescent="0.35">
      <c r="A304" s="9" t="s">
        <v>292</v>
      </c>
      <c r="B304" s="69" t="s">
        <v>451</v>
      </c>
    </row>
    <row r="305" spans="1:2" ht="29" x14ac:dyDescent="0.35">
      <c r="A305" s="9" t="s">
        <v>294</v>
      </c>
      <c r="B305" s="69" t="s">
        <v>452</v>
      </c>
    </row>
    <row r="308" spans="1:2" ht="15" customHeight="1" x14ac:dyDescent="0.35">
      <c r="A308" s="226" t="s">
        <v>453</v>
      </c>
      <c r="B308" s="227"/>
    </row>
    <row r="309" spans="1:2" x14ac:dyDescent="0.35">
      <c r="A309" s="9" t="s">
        <v>6</v>
      </c>
      <c r="B309" s="69">
        <f>LoS!C36</f>
        <v>2700</v>
      </c>
    </row>
    <row r="310" spans="1:2" x14ac:dyDescent="0.35">
      <c r="A310" s="9" t="s">
        <v>270</v>
      </c>
      <c r="B310" s="69" t="s">
        <v>454</v>
      </c>
    </row>
    <row r="311" spans="1:2" x14ac:dyDescent="0.35">
      <c r="A311" s="9" t="s">
        <v>12</v>
      </c>
      <c r="B311" s="69" t="s">
        <v>301</v>
      </c>
    </row>
    <row r="312" spans="1:2" ht="29" x14ac:dyDescent="0.35">
      <c r="A312" s="9" t="s">
        <v>274</v>
      </c>
      <c r="B312" s="69" t="s">
        <v>455</v>
      </c>
    </row>
    <row r="313" spans="1:2" x14ac:dyDescent="0.35">
      <c r="A313" s="9" t="s">
        <v>276</v>
      </c>
      <c r="B313" s="69" t="str">
        <f>Risks!L16</f>
        <v>Maintenance (Medium)</v>
      </c>
    </row>
    <row r="314" spans="1:2" ht="29" x14ac:dyDescent="0.35">
      <c r="A314" s="9" t="s">
        <v>303</v>
      </c>
      <c r="B314" s="69" t="str">
        <f>Risks!M16</f>
        <v>Track route across moderately steep terrain subject to windfall and landslides, higher ongoing maintenance requirements to meet track standards</v>
      </c>
    </row>
    <row r="315" spans="1:2" ht="29" x14ac:dyDescent="0.35">
      <c r="A315" s="9" t="s">
        <v>304</v>
      </c>
      <c r="B315" s="69" t="s">
        <v>456</v>
      </c>
    </row>
    <row r="316" spans="1:2" ht="29" x14ac:dyDescent="0.35">
      <c r="A316" s="9" t="s">
        <v>282</v>
      </c>
      <c r="B316" s="69" t="s">
        <v>457</v>
      </c>
    </row>
    <row r="317" spans="1:2" x14ac:dyDescent="0.35">
      <c r="A317" s="9" t="s">
        <v>284</v>
      </c>
      <c r="B317" s="69" t="s">
        <v>458</v>
      </c>
    </row>
    <row r="318" spans="1:2" ht="29" x14ac:dyDescent="0.35">
      <c r="A318" s="9" t="s">
        <v>286</v>
      </c>
      <c r="B318" s="69" t="s">
        <v>459</v>
      </c>
    </row>
    <row r="319" spans="1:2" x14ac:dyDescent="0.35">
      <c r="A319" s="9" t="s">
        <v>288</v>
      </c>
      <c r="B319" s="208">
        <f>Summary!R24</f>
        <v>2103753.6</v>
      </c>
    </row>
    <row r="320" spans="1:2" x14ac:dyDescent="0.35">
      <c r="A320" s="9" t="s">
        <v>290</v>
      </c>
      <c r="B320" s="208">
        <f>Summary!R29</f>
        <v>58240</v>
      </c>
    </row>
    <row r="321" spans="1:2" ht="29" x14ac:dyDescent="0.35">
      <c r="A321" s="9" t="s">
        <v>292</v>
      </c>
      <c r="B321" s="69" t="s">
        <v>460</v>
      </c>
    </row>
    <row r="322" spans="1:2" ht="29" x14ac:dyDescent="0.35">
      <c r="A322" s="9" t="s">
        <v>294</v>
      </c>
      <c r="B322" s="69" t="s">
        <v>452</v>
      </c>
    </row>
    <row r="325" spans="1:2" x14ac:dyDescent="0.35">
      <c r="A325" s="226" t="s">
        <v>461</v>
      </c>
      <c r="B325" s="227"/>
    </row>
    <row r="326" spans="1:2" x14ac:dyDescent="0.35">
      <c r="A326" s="9" t="s">
        <v>6</v>
      </c>
      <c r="B326" s="69">
        <f>LoS!C39</f>
        <v>1840</v>
      </c>
    </row>
    <row r="327" spans="1:2" x14ac:dyDescent="0.35">
      <c r="A327" s="9" t="s">
        <v>270</v>
      </c>
      <c r="B327" s="69" t="s">
        <v>462</v>
      </c>
    </row>
    <row r="328" spans="1:2" x14ac:dyDescent="0.35">
      <c r="A328" s="9" t="s">
        <v>12</v>
      </c>
      <c r="B328" s="69" t="s">
        <v>301</v>
      </c>
    </row>
    <row r="329" spans="1:2" ht="87" x14ac:dyDescent="0.35">
      <c r="A329" s="9" t="s">
        <v>274</v>
      </c>
      <c r="B329" s="69" t="s">
        <v>463</v>
      </c>
    </row>
    <row r="330" spans="1:2" x14ac:dyDescent="0.35">
      <c r="A330" s="9" t="s">
        <v>276</v>
      </c>
      <c r="B330" s="69" t="str">
        <f>Risks!L17</f>
        <v>Bridges, Flooding &amp; Maintenance (High), Weather, Avalanche (Medium)</v>
      </c>
    </row>
    <row r="331" spans="1:2" ht="72.5" x14ac:dyDescent="0.35">
      <c r="A331" s="9" t="s">
        <v>303</v>
      </c>
      <c r="B331" s="69" t="str">
        <f>Risks!M17</f>
        <v xml:space="preserve">High cost for bridges, technical challenges to find site/design that is not easily compromised by flooding and creek aggrading, high maintenance requirements to maintain level of service for short walk in sub-alpine environment, potential for adverse weather, snow and flooding to impact the route and safety challenges with visitor group, </v>
      </c>
    </row>
    <row r="332" spans="1:2" ht="29" x14ac:dyDescent="0.35">
      <c r="A332" s="9" t="s">
        <v>304</v>
      </c>
      <c r="B332" s="69" t="s">
        <v>301</v>
      </c>
    </row>
    <row r="333" spans="1:2" ht="72.5" x14ac:dyDescent="0.35">
      <c r="A333" s="9" t="s">
        <v>282</v>
      </c>
      <c r="B333" s="69" t="s">
        <v>464</v>
      </c>
    </row>
    <row r="334" spans="1:2" ht="43.5" x14ac:dyDescent="0.35">
      <c r="A334" s="9" t="s">
        <v>284</v>
      </c>
      <c r="B334" s="69" t="s">
        <v>465</v>
      </c>
    </row>
    <row r="335" spans="1:2" x14ac:dyDescent="0.35">
      <c r="A335" s="9" t="s">
        <v>286</v>
      </c>
      <c r="B335" s="69" t="s">
        <v>466</v>
      </c>
    </row>
    <row r="336" spans="1:2" x14ac:dyDescent="0.35">
      <c r="A336" s="9" t="s">
        <v>288</v>
      </c>
      <c r="B336" s="208">
        <f>Summary!U24</f>
        <v>2253300.9942857143</v>
      </c>
    </row>
    <row r="337" spans="1:2" x14ac:dyDescent="0.35">
      <c r="A337" s="9" t="s">
        <v>290</v>
      </c>
      <c r="B337" s="208">
        <f>Summary!U29</f>
        <v>96880</v>
      </c>
    </row>
    <row r="338" spans="1:2" ht="72.5" x14ac:dyDescent="0.35">
      <c r="A338" s="9" t="s">
        <v>292</v>
      </c>
      <c r="B338" s="69" t="s">
        <v>467</v>
      </c>
    </row>
    <row r="339" spans="1:2" ht="101.5" x14ac:dyDescent="0.35">
      <c r="A339" s="9" t="s">
        <v>294</v>
      </c>
      <c r="B339" s="69" t="s">
        <v>468</v>
      </c>
    </row>
    <row r="342" spans="1:2" x14ac:dyDescent="0.35">
      <c r="A342" s="226" t="s">
        <v>469</v>
      </c>
      <c r="B342" s="227"/>
    </row>
    <row r="343" spans="1:2" x14ac:dyDescent="0.35">
      <c r="A343" s="9" t="s">
        <v>6</v>
      </c>
      <c r="B343" s="69">
        <f>LoS!C40</f>
        <v>3200</v>
      </c>
    </row>
    <row r="344" spans="1:2" x14ac:dyDescent="0.35">
      <c r="A344" s="9" t="s">
        <v>270</v>
      </c>
      <c r="B344" s="69" t="s">
        <v>470</v>
      </c>
    </row>
    <row r="345" spans="1:2" x14ac:dyDescent="0.35">
      <c r="A345" s="9" t="s">
        <v>12</v>
      </c>
      <c r="B345" s="69" t="s">
        <v>301</v>
      </c>
    </row>
    <row r="346" spans="1:2" ht="116" x14ac:dyDescent="0.35">
      <c r="A346" s="9" t="s">
        <v>274</v>
      </c>
      <c r="B346" s="69" t="s">
        <v>471</v>
      </c>
    </row>
    <row r="347" spans="1:2" x14ac:dyDescent="0.35">
      <c r="A347" s="9" t="s">
        <v>276</v>
      </c>
      <c r="B347" s="69" t="str">
        <f>Risks!L18</f>
        <v>Bridges, Landslides &amp; Maintenance (high), Flooding, Budget &amp; Avalanches (Medium)</v>
      </c>
    </row>
    <row r="348" spans="1:2" ht="43.5" x14ac:dyDescent="0.35">
      <c r="A348" s="9" t="s">
        <v>303</v>
      </c>
      <c r="B348" s="69" t="str">
        <f>Risks!M18</f>
        <v>Heavy rain and flood related hazards could impact this route, steep rock faces more prone to debris flows that could destroy track structure and result in long repair times, critical to have bridges at both ends</v>
      </c>
    </row>
    <row r="349" spans="1:2" ht="29" x14ac:dyDescent="0.35">
      <c r="A349" s="9" t="s">
        <v>304</v>
      </c>
      <c r="B349" s="69" t="s">
        <v>301</v>
      </c>
    </row>
    <row r="350" spans="1:2" ht="101.5" x14ac:dyDescent="0.35">
      <c r="A350" s="9" t="s">
        <v>282</v>
      </c>
      <c r="B350" s="69" t="s">
        <v>472</v>
      </c>
    </row>
    <row r="351" spans="1:2" ht="58" x14ac:dyDescent="0.35">
      <c r="A351" s="9" t="s">
        <v>284</v>
      </c>
      <c r="B351" s="69" t="s">
        <v>473</v>
      </c>
    </row>
    <row r="352" spans="1:2" ht="29" x14ac:dyDescent="0.35">
      <c r="A352" s="9" t="s">
        <v>286</v>
      </c>
      <c r="B352" s="69" t="s">
        <v>474</v>
      </c>
    </row>
    <row r="353" spans="1:2" x14ac:dyDescent="0.35">
      <c r="A353" s="9" t="s">
        <v>288</v>
      </c>
      <c r="B353" s="208">
        <f>Summary!V24</f>
        <v>4867639.92</v>
      </c>
    </row>
    <row r="354" spans="1:2" x14ac:dyDescent="0.35">
      <c r="A354" s="9" t="s">
        <v>290</v>
      </c>
      <c r="B354" s="208">
        <f>Summary!V29</f>
        <v>132160</v>
      </c>
    </row>
    <row r="355" spans="1:2" ht="58" x14ac:dyDescent="0.35">
      <c r="A355" s="9" t="s">
        <v>292</v>
      </c>
      <c r="B355" s="69" t="s">
        <v>475</v>
      </c>
    </row>
    <row r="356" spans="1:2" ht="116" x14ac:dyDescent="0.35">
      <c r="A356" s="9" t="s">
        <v>294</v>
      </c>
      <c r="B356" s="69" t="s">
        <v>476</v>
      </c>
    </row>
    <row r="359" spans="1:2" x14ac:dyDescent="0.35">
      <c r="A359" s="226" t="s">
        <v>477</v>
      </c>
      <c r="B359" s="227"/>
    </row>
    <row r="360" spans="1:2" x14ac:dyDescent="0.35">
      <c r="A360" s="9" t="s">
        <v>6</v>
      </c>
      <c r="B360" s="69">
        <f>LoS!C41</f>
        <v>2350</v>
      </c>
    </row>
    <row r="361" spans="1:2" x14ac:dyDescent="0.35">
      <c r="A361" s="9" t="s">
        <v>270</v>
      </c>
      <c r="B361" s="69" t="s">
        <v>478</v>
      </c>
    </row>
    <row r="362" spans="1:2" x14ac:dyDescent="0.35">
      <c r="A362" s="9" t="s">
        <v>12</v>
      </c>
      <c r="B362" s="69" t="s">
        <v>301</v>
      </c>
    </row>
    <row r="363" spans="1:2" ht="72.5" x14ac:dyDescent="0.35">
      <c r="A363" s="9" t="s">
        <v>274</v>
      </c>
      <c r="B363" s="69" t="s">
        <v>479</v>
      </c>
    </row>
    <row r="364" spans="1:2" x14ac:dyDescent="0.35">
      <c r="A364" s="9" t="s">
        <v>276</v>
      </c>
      <c r="B364" s="69" t="str">
        <f>Risks!L19</f>
        <v>Flooding (Medium)</v>
      </c>
    </row>
    <row r="365" spans="1:2" ht="29" x14ac:dyDescent="0.35">
      <c r="A365" s="9" t="s">
        <v>303</v>
      </c>
      <c r="B365" s="69" t="str">
        <f>Risks!M19</f>
        <v>Low risk of plunging avalanche path crosses the route (&gt;15yr return interval from MRA), Cleddau River flooding is evident and ongoing especially near Milford Sound Lodge</v>
      </c>
    </row>
    <row r="366" spans="1:2" ht="29" x14ac:dyDescent="0.35">
      <c r="A366" s="9" t="s">
        <v>304</v>
      </c>
      <c r="B366" s="69" t="s">
        <v>301</v>
      </c>
    </row>
    <row r="367" spans="1:2" ht="43.5" x14ac:dyDescent="0.35">
      <c r="A367" s="9" t="s">
        <v>282</v>
      </c>
      <c r="B367" s="69" t="s">
        <v>480</v>
      </c>
    </row>
    <row r="368" spans="1:2" x14ac:dyDescent="0.35">
      <c r="A368" s="9" t="s">
        <v>284</v>
      </c>
      <c r="B368" s="69" t="s">
        <v>481</v>
      </c>
    </row>
    <row r="369" spans="1:2" ht="43.5" x14ac:dyDescent="0.35">
      <c r="A369" s="9" t="s">
        <v>286</v>
      </c>
      <c r="B369" s="69" t="s">
        <v>482</v>
      </c>
    </row>
    <row r="370" spans="1:2" x14ac:dyDescent="0.35">
      <c r="A370" s="9" t="s">
        <v>288</v>
      </c>
      <c r="B370" s="208">
        <f>Summary!W24</f>
        <v>970229.18571428582</v>
      </c>
    </row>
    <row r="371" spans="1:2" x14ac:dyDescent="0.35">
      <c r="A371" s="9" t="s">
        <v>290</v>
      </c>
      <c r="B371" s="208">
        <f>Summary!W29</f>
        <v>33360</v>
      </c>
    </row>
    <row r="372" spans="1:2" ht="58" x14ac:dyDescent="0.35">
      <c r="A372" s="9" t="s">
        <v>292</v>
      </c>
      <c r="B372" s="69" t="s">
        <v>483</v>
      </c>
    </row>
    <row r="373" spans="1:2" ht="72.5" x14ac:dyDescent="0.35">
      <c r="A373" s="9" t="s">
        <v>294</v>
      </c>
      <c r="B373" s="69" t="s">
        <v>484</v>
      </c>
    </row>
    <row r="376" spans="1:2" x14ac:dyDescent="0.35">
      <c r="A376" s="226" t="s">
        <v>485</v>
      </c>
      <c r="B376" s="227"/>
    </row>
    <row r="377" spans="1:2" x14ac:dyDescent="0.35">
      <c r="A377" s="9" t="s">
        <v>6</v>
      </c>
      <c r="B377" s="69">
        <f>LoS!C42</f>
        <v>350</v>
      </c>
    </row>
    <row r="378" spans="1:2" x14ac:dyDescent="0.35">
      <c r="A378" s="9" t="s">
        <v>270</v>
      </c>
      <c r="B378" s="69" t="s">
        <v>486</v>
      </c>
    </row>
    <row r="379" spans="1:2" x14ac:dyDescent="0.35">
      <c r="A379" s="9" t="s">
        <v>12</v>
      </c>
      <c r="B379" s="69" t="s">
        <v>301</v>
      </c>
    </row>
    <row r="380" spans="1:2" ht="29" x14ac:dyDescent="0.35">
      <c r="A380" s="9" t="s">
        <v>274</v>
      </c>
      <c r="B380" s="69" t="s">
        <v>487</v>
      </c>
    </row>
    <row r="381" spans="1:2" x14ac:dyDescent="0.35">
      <c r="A381" s="9" t="s">
        <v>276</v>
      </c>
      <c r="B381" s="69" t="str">
        <f>Risks!L20</f>
        <v>Structures (Medium)</v>
      </c>
    </row>
    <row r="382" spans="1:2" ht="29" x14ac:dyDescent="0.35">
      <c r="A382" s="9" t="s">
        <v>303</v>
      </c>
      <c r="B382" s="69" t="str">
        <f>Risks!M20</f>
        <v>Geotechnical considerations essential together with high cost to build, no obvious technical limitations</v>
      </c>
    </row>
    <row r="383" spans="1:2" ht="29" x14ac:dyDescent="0.35">
      <c r="A383" s="9" t="s">
        <v>304</v>
      </c>
      <c r="B383" s="69" t="s">
        <v>488</v>
      </c>
    </row>
    <row r="384" spans="1:2" ht="58" x14ac:dyDescent="0.35">
      <c r="A384" s="9" t="s">
        <v>282</v>
      </c>
      <c r="B384" s="69" t="s">
        <v>489</v>
      </c>
    </row>
    <row r="385" spans="1:2" x14ac:dyDescent="0.35">
      <c r="A385" s="9" t="s">
        <v>284</v>
      </c>
      <c r="B385" s="69" t="s">
        <v>490</v>
      </c>
    </row>
    <row r="386" spans="1:2" ht="29" x14ac:dyDescent="0.35">
      <c r="A386" s="9" t="s">
        <v>286</v>
      </c>
      <c r="B386" s="69" t="s">
        <v>491</v>
      </c>
    </row>
    <row r="387" spans="1:2" x14ac:dyDescent="0.35">
      <c r="A387" s="9" t="s">
        <v>288</v>
      </c>
      <c r="B387" s="208">
        <f>Summary!X24</f>
        <v>616315.88571428577</v>
      </c>
    </row>
    <row r="388" spans="1:2" x14ac:dyDescent="0.35">
      <c r="A388" s="9" t="s">
        <v>290</v>
      </c>
      <c r="B388" s="208">
        <f>Summary!X29</f>
        <v>31760</v>
      </c>
    </row>
    <row r="389" spans="1:2" ht="29" x14ac:dyDescent="0.35">
      <c r="A389" s="9" t="s">
        <v>292</v>
      </c>
      <c r="B389" s="69" t="s">
        <v>492</v>
      </c>
    </row>
    <row r="390" spans="1:2" ht="72.5" x14ac:dyDescent="0.35">
      <c r="A390" s="9" t="s">
        <v>294</v>
      </c>
      <c r="B390" s="69" t="s">
        <v>493</v>
      </c>
    </row>
    <row r="393" spans="1:2" x14ac:dyDescent="0.35">
      <c r="A393" s="226" t="s">
        <v>494</v>
      </c>
      <c r="B393" s="227"/>
    </row>
    <row r="394" spans="1:2" x14ac:dyDescent="0.35">
      <c r="A394" s="9" t="s">
        <v>6</v>
      </c>
      <c r="B394" s="69">
        <v>850</v>
      </c>
    </row>
    <row r="395" spans="1:2" x14ac:dyDescent="0.35">
      <c r="A395" s="9" t="s">
        <v>270</v>
      </c>
      <c r="B395" s="69" t="s">
        <v>495</v>
      </c>
    </row>
    <row r="396" spans="1:2" x14ac:dyDescent="0.35">
      <c r="A396" s="9" t="s">
        <v>12</v>
      </c>
      <c r="B396" s="69" t="s">
        <v>301</v>
      </c>
    </row>
    <row r="397" spans="1:2" ht="43.5" x14ac:dyDescent="0.35">
      <c r="A397" s="9" t="s">
        <v>274</v>
      </c>
      <c r="B397" s="69" t="s">
        <v>496</v>
      </c>
    </row>
    <row r="398" spans="1:2" x14ac:dyDescent="0.35">
      <c r="A398" s="9" t="s">
        <v>276</v>
      </c>
      <c r="B398" s="69" t="str">
        <f>Risks!L22</f>
        <v>Structures, People and budgets (High), Landslides &amp; Maintenance (Medium)</v>
      </c>
    </row>
    <row r="399" spans="1:2" ht="58" x14ac:dyDescent="0.35">
      <c r="A399" s="9" t="s">
        <v>303</v>
      </c>
      <c r="B399" s="69" t="str">
        <f>Risks!M22</f>
        <v>Is the access suited to short walk users with 70-90m of vertical drop from cable car top station, potential impact of debris landslides could be catastrophic on structures resulting in long periods of closure, views not as dynamic as below the falls as you miss the pressure waves and mist</v>
      </c>
    </row>
    <row r="400" spans="1:2" ht="72.5" x14ac:dyDescent="0.35">
      <c r="A400" s="9" t="s">
        <v>304</v>
      </c>
      <c r="B400" s="69" t="s">
        <v>497</v>
      </c>
    </row>
    <row r="401" spans="1:2" ht="72.5" x14ac:dyDescent="0.35">
      <c r="A401" s="9" t="s">
        <v>282</v>
      </c>
      <c r="B401" s="69" t="s">
        <v>498</v>
      </c>
    </row>
    <row r="402" spans="1:2" ht="29" x14ac:dyDescent="0.35">
      <c r="A402" s="9" t="s">
        <v>284</v>
      </c>
      <c r="B402" s="69" t="s">
        <v>499</v>
      </c>
    </row>
    <row r="403" spans="1:2" x14ac:dyDescent="0.35">
      <c r="A403" s="9" t="s">
        <v>286</v>
      </c>
      <c r="B403" s="69" t="s">
        <v>500</v>
      </c>
    </row>
    <row r="404" spans="1:2" x14ac:dyDescent="0.35">
      <c r="A404" s="9" t="s">
        <v>288</v>
      </c>
      <c r="B404" s="208">
        <f>Summary!Y24</f>
        <v>1328856.9171428571</v>
      </c>
    </row>
    <row r="405" spans="1:2" x14ac:dyDescent="0.35">
      <c r="A405" s="9" t="s">
        <v>290</v>
      </c>
      <c r="B405" s="208">
        <f>Summary!Y29</f>
        <v>52240</v>
      </c>
    </row>
    <row r="406" spans="1:2" ht="72.5" x14ac:dyDescent="0.35">
      <c r="A406" s="9" t="s">
        <v>292</v>
      </c>
      <c r="B406" s="69" t="s">
        <v>501</v>
      </c>
    </row>
    <row r="407" spans="1:2" ht="130.5" x14ac:dyDescent="0.35">
      <c r="A407" s="9" t="s">
        <v>294</v>
      </c>
      <c r="B407" s="69" t="s">
        <v>502</v>
      </c>
    </row>
    <row r="408" spans="1:2" x14ac:dyDescent="0.35">
      <c r="A408" s="34"/>
      <c r="B408" s="51"/>
    </row>
    <row r="409" spans="1:2" x14ac:dyDescent="0.35">
      <c r="A409" s="34"/>
      <c r="B409" s="51"/>
    </row>
    <row r="410" spans="1:2" ht="15" customHeight="1" x14ac:dyDescent="0.35">
      <c r="A410" s="226" t="s">
        <v>503</v>
      </c>
      <c r="B410" s="227"/>
    </row>
    <row r="411" spans="1:2" x14ac:dyDescent="0.35">
      <c r="A411" s="9" t="s">
        <v>6</v>
      </c>
      <c r="B411" s="69">
        <v>120</v>
      </c>
    </row>
    <row r="412" spans="1:2" x14ac:dyDescent="0.35">
      <c r="A412" s="9" t="s">
        <v>270</v>
      </c>
      <c r="B412" s="69" t="s">
        <v>389</v>
      </c>
    </row>
    <row r="413" spans="1:2" x14ac:dyDescent="0.35">
      <c r="A413" s="9" t="s">
        <v>12</v>
      </c>
      <c r="B413" s="69" t="s">
        <v>301</v>
      </c>
    </row>
    <row r="414" spans="1:2" ht="43.5" x14ac:dyDescent="0.35">
      <c r="A414" s="9" t="s">
        <v>274</v>
      </c>
      <c r="B414" s="69" t="s">
        <v>504</v>
      </c>
    </row>
    <row r="415" spans="1:2" x14ac:dyDescent="0.35">
      <c r="A415" s="9" t="s">
        <v>276</v>
      </c>
      <c r="B415" s="69" t="str">
        <f>Risks!L23</f>
        <v>Structures, People (Medium)</v>
      </c>
    </row>
    <row r="416" spans="1:2" x14ac:dyDescent="0.35">
      <c r="A416" s="9" t="s">
        <v>303</v>
      </c>
      <c r="B416" s="69" t="str">
        <f>Risks!M23</f>
        <v>Access management to Bowen River with viewing platform to manage safety</v>
      </c>
    </row>
    <row r="417" spans="1:2" ht="29" x14ac:dyDescent="0.35">
      <c r="A417" s="9" t="s">
        <v>304</v>
      </c>
      <c r="B417" s="69" t="s">
        <v>301</v>
      </c>
    </row>
    <row r="418" spans="1:2" ht="43.5" x14ac:dyDescent="0.35">
      <c r="A418" s="9" t="s">
        <v>282</v>
      </c>
      <c r="B418" s="69" t="s">
        <v>505</v>
      </c>
    </row>
    <row r="419" spans="1:2" x14ac:dyDescent="0.35">
      <c r="A419" s="9" t="s">
        <v>284</v>
      </c>
      <c r="B419" s="69" t="s">
        <v>356</v>
      </c>
    </row>
    <row r="420" spans="1:2" x14ac:dyDescent="0.35">
      <c r="A420" s="9" t="s">
        <v>286</v>
      </c>
      <c r="B420" s="69" t="s">
        <v>500</v>
      </c>
    </row>
    <row r="421" spans="1:2" x14ac:dyDescent="0.35">
      <c r="A421" s="9" t="s">
        <v>288</v>
      </c>
      <c r="B421" s="208">
        <f>Cost!M322</f>
        <v>20091.428571428572</v>
      </c>
    </row>
    <row r="422" spans="1:2" x14ac:dyDescent="0.35">
      <c r="A422" s="9" t="s">
        <v>290</v>
      </c>
      <c r="B422" s="208">
        <f>'O&amp;M'!D235</f>
        <v>5760</v>
      </c>
    </row>
    <row r="423" spans="1:2" ht="29" x14ac:dyDescent="0.35">
      <c r="A423" s="9" t="s">
        <v>292</v>
      </c>
      <c r="B423" s="69" t="s">
        <v>506</v>
      </c>
    </row>
    <row r="424" spans="1:2" ht="43.5" x14ac:dyDescent="0.35">
      <c r="A424" s="9" t="s">
        <v>294</v>
      </c>
      <c r="B424" s="69" t="s">
        <v>507</v>
      </c>
    </row>
    <row r="425" spans="1:2" x14ac:dyDescent="0.35">
      <c r="A425" s="34"/>
      <c r="B425" s="51"/>
    </row>
    <row r="427" spans="1:2" ht="15" customHeight="1" x14ac:dyDescent="0.35">
      <c r="A427" s="226" t="s">
        <v>508</v>
      </c>
      <c r="B427" s="227"/>
    </row>
    <row r="428" spans="1:2" x14ac:dyDescent="0.35">
      <c r="A428" s="9" t="s">
        <v>6</v>
      </c>
      <c r="B428" s="69">
        <f>LoS!C44</f>
        <v>290</v>
      </c>
    </row>
    <row r="429" spans="1:2" x14ac:dyDescent="0.35">
      <c r="A429" s="9" t="s">
        <v>270</v>
      </c>
      <c r="B429" s="69" t="s">
        <v>509</v>
      </c>
    </row>
    <row r="430" spans="1:2" x14ac:dyDescent="0.35">
      <c r="A430" s="9" t="s">
        <v>12</v>
      </c>
      <c r="B430" s="69" t="s">
        <v>301</v>
      </c>
    </row>
    <row r="431" spans="1:2" ht="72.5" x14ac:dyDescent="0.35">
      <c r="A431" s="9" t="s">
        <v>274</v>
      </c>
      <c r="B431" s="69" t="s">
        <v>510</v>
      </c>
    </row>
    <row r="432" spans="1:2" x14ac:dyDescent="0.35">
      <c r="A432" s="9" t="s">
        <v>276</v>
      </c>
      <c r="B432" s="69" t="str">
        <f>Risks!L24</f>
        <v>Structures, Landslides and budgets (High), Flooding &amp; Maintenance (Medium)</v>
      </c>
    </row>
    <row r="433" spans="1:2" ht="43.5" x14ac:dyDescent="0.35">
      <c r="A433" s="9" t="s">
        <v>303</v>
      </c>
      <c r="B433" s="69" t="str">
        <f>Risks!M24</f>
        <v>Rock fall hazard on approach structures, flooding across lower delta, structure located clear of flood/rockfall being tested by others, high upfront costs, maintenance to meet short walk will be critical</v>
      </c>
    </row>
    <row r="434" spans="1:2" ht="29" x14ac:dyDescent="0.35">
      <c r="A434" s="9" t="s">
        <v>304</v>
      </c>
      <c r="B434" s="69" t="s">
        <v>301</v>
      </c>
    </row>
    <row r="435" spans="1:2" ht="87" x14ac:dyDescent="0.35">
      <c r="A435" s="9" t="s">
        <v>282</v>
      </c>
      <c r="B435" s="69" t="s">
        <v>511</v>
      </c>
    </row>
    <row r="436" spans="1:2" ht="43.5" x14ac:dyDescent="0.35">
      <c r="A436" s="9" t="s">
        <v>284</v>
      </c>
      <c r="B436" s="69" t="s">
        <v>512</v>
      </c>
    </row>
    <row r="437" spans="1:2" x14ac:dyDescent="0.35">
      <c r="A437" s="9" t="s">
        <v>286</v>
      </c>
      <c r="B437" s="69" t="s">
        <v>500</v>
      </c>
    </row>
    <row r="438" spans="1:2" x14ac:dyDescent="0.35">
      <c r="A438" s="9" t="s">
        <v>288</v>
      </c>
      <c r="B438" s="208">
        <f>Summary!Z24</f>
        <v>1630985.85</v>
      </c>
    </row>
    <row r="439" spans="1:2" x14ac:dyDescent="0.35">
      <c r="A439" s="9" t="s">
        <v>290</v>
      </c>
      <c r="B439" s="208">
        <f>Summary!Z29</f>
        <v>40680</v>
      </c>
    </row>
    <row r="440" spans="1:2" ht="58" x14ac:dyDescent="0.35">
      <c r="A440" s="9" t="s">
        <v>292</v>
      </c>
      <c r="B440" s="69" t="s">
        <v>513</v>
      </c>
    </row>
    <row r="441" spans="1:2" ht="58" x14ac:dyDescent="0.35">
      <c r="A441" s="9" t="s">
        <v>294</v>
      </c>
      <c r="B441" s="69" t="s">
        <v>514</v>
      </c>
    </row>
    <row r="444" spans="1:2" x14ac:dyDescent="0.35">
      <c r="A444" s="226" t="s">
        <v>515</v>
      </c>
      <c r="B444" s="227"/>
    </row>
    <row r="445" spans="1:2" x14ac:dyDescent="0.35">
      <c r="A445" s="9" t="s">
        <v>6</v>
      </c>
      <c r="B445" s="69">
        <f>LoS!C45</f>
        <v>2100</v>
      </c>
    </row>
    <row r="446" spans="1:2" x14ac:dyDescent="0.35">
      <c r="A446" s="9" t="s">
        <v>270</v>
      </c>
      <c r="B446" s="69" t="s">
        <v>509</v>
      </c>
    </row>
    <row r="447" spans="1:2" x14ac:dyDescent="0.35">
      <c r="A447" s="9" t="s">
        <v>12</v>
      </c>
      <c r="B447" s="69" t="s">
        <v>301</v>
      </c>
    </row>
    <row r="448" spans="1:2" ht="43.5" x14ac:dyDescent="0.35">
      <c r="A448" s="9" t="s">
        <v>274</v>
      </c>
      <c r="B448" s="69" t="s">
        <v>516</v>
      </c>
    </row>
    <row r="449" spans="1:2" x14ac:dyDescent="0.35">
      <c r="A449" s="9" t="s">
        <v>276</v>
      </c>
      <c r="B449" s="69" t="str">
        <f>Risks!L21</f>
        <v xml:space="preserve"> Flooding (High)</v>
      </c>
    </row>
    <row r="450" spans="1:2" ht="29" x14ac:dyDescent="0.35">
      <c r="A450" s="9" t="s">
        <v>303</v>
      </c>
      <c r="B450" s="69" t="str">
        <f>Risks!M21</f>
        <v>Tsunami risk in this low-lying delta , sea level rise also an impact with land all &lt;2m above MSL</v>
      </c>
    </row>
    <row r="451" spans="1:2" ht="29" x14ac:dyDescent="0.35">
      <c r="A451" s="9" t="s">
        <v>304</v>
      </c>
      <c r="B451" s="69" t="s">
        <v>301</v>
      </c>
    </row>
    <row r="452" spans="1:2" ht="87" x14ac:dyDescent="0.35">
      <c r="A452" s="9" t="s">
        <v>282</v>
      </c>
      <c r="B452" s="69" t="s">
        <v>517</v>
      </c>
    </row>
    <row r="453" spans="1:2" x14ac:dyDescent="0.35">
      <c r="A453" s="9" t="s">
        <v>284</v>
      </c>
      <c r="B453" s="69" t="s">
        <v>518</v>
      </c>
    </row>
    <row r="454" spans="1:2" x14ac:dyDescent="0.35">
      <c r="A454" s="9" t="s">
        <v>286</v>
      </c>
      <c r="B454" s="69" t="s">
        <v>500</v>
      </c>
    </row>
    <row r="455" spans="1:2" x14ac:dyDescent="0.35">
      <c r="A455" s="9" t="s">
        <v>288</v>
      </c>
      <c r="B455" s="208">
        <f>Summary!AA24</f>
        <v>1115934.3</v>
      </c>
    </row>
    <row r="456" spans="1:2" x14ac:dyDescent="0.35">
      <c r="A456" s="9" t="s">
        <v>290</v>
      </c>
      <c r="B456" s="208">
        <f>Summary!AA29</f>
        <v>42930</v>
      </c>
    </row>
    <row r="457" spans="1:2" ht="29" x14ac:dyDescent="0.35">
      <c r="A457" s="9" t="s">
        <v>292</v>
      </c>
      <c r="B457" s="69" t="s">
        <v>519</v>
      </c>
    </row>
    <row r="458" spans="1:2" x14ac:dyDescent="0.35">
      <c r="A458" s="9" t="s">
        <v>294</v>
      </c>
      <c r="B458" s="69" t="s">
        <v>520</v>
      </c>
    </row>
  </sheetData>
  <sheetProtection algorithmName="SHA-512" hashValue="S8ZnjB/t0w4Eg6hPNkVTHah1XK8+yquHsaDWew4BiG8gBjC8syVCHgRoqPDzIXzkJE0vKv2aQzC74KKOYrXWiw==" saltValue="YOUVY/U6HF6MbwN3rJxE2A==" spinCount="100000" sheet="1" objects="1" scenarios="1"/>
  <mergeCells count="27">
    <mergeCell ref="A1:B1"/>
    <mergeCell ref="A292:B292"/>
    <mergeCell ref="A410:B410"/>
    <mergeCell ref="A275:B275"/>
    <mergeCell ref="A126:B126"/>
    <mergeCell ref="A109:B109"/>
    <mergeCell ref="A154:B154"/>
    <mergeCell ref="A173:B173"/>
    <mergeCell ref="A191:B191"/>
    <mergeCell ref="A208:B208"/>
    <mergeCell ref="A224:B224"/>
    <mergeCell ref="A258:B258"/>
    <mergeCell ref="A393:B393"/>
    <mergeCell ref="A21:B21"/>
    <mergeCell ref="A38:B38"/>
    <mergeCell ref="A55:B55"/>
    <mergeCell ref="A72:B72"/>
    <mergeCell ref="A91:B91"/>
    <mergeCell ref="A427:B427"/>
    <mergeCell ref="A444:B444"/>
    <mergeCell ref="A308:B308"/>
    <mergeCell ref="A325:B325"/>
    <mergeCell ref="A342:B342"/>
    <mergeCell ref="A359:B359"/>
    <mergeCell ref="A376:B376"/>
    <mergeCell ref="A142:B142"/>
    <mergeCell ref="A239:B23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12854-9918-43C5-9266-63165A6B9E83}">
  <dimension ref="A1:M24"/>
  <sheetViews>
    <sheetView workbookViewId="0">
      <selection activeCell="M21" sqref="M21"/>
    </sheetView>
  </sheetViews>
  <sheetFormatPr defaultRowHeight="14.5" x14ac:dyDescent="0.35"/>
  <cols>
    <col min="1" max="1" width="5.54296875" customWidth="1"/>
    <col min="2" max="2" width="34" customWidth="1"/>
    <col min="3" max="10" width="0" hidden="1" customWidth="1"/>
    <col min="11" max="11" width="10.7265625" hidden="1" customWidth="1"/>
    <col min="12" max="12" width="72.54296875" style="18" customWidth="1"/>
    <col min="13" max="13" width="94.81640625" style="68" customWidth="1"/>
  </cols>
  <sheetData>
    <row r="1" spans="1:13" x14ac:dyDescent="0.35">
      <c r="A1" s="131"/>
      <c r="B1" s="131"/>
      <c r="C1" s="228" t="s">
        <v>521</v>
      </c>
      <c r="D1" s="228"/>
      <c r="E1" s="228"/>
      <c r="F1" s="228"/>
      <c r="G1" s="228"/>
      <c r="H1" s="228"/>
      <c r="I1" s="228"/>
      <c r="J1" s="228"/>
      <c r="K1" s="228"/>
    </row>
    <row r="2" spans="1:13" x14ac:dyDescent="0.35">
      <c r="A2" s="188" t="s">
        <v>522</v>
      </c>
      <c r="B2" s="189" t="s">
        <v>523</v>
      </c>
      <c r="C2" s="190" t="s">
        <v>524</v>
      </c>
      <c r="D2" s="190" t="s">
        <v>284</v>
      </c>
      <c r="E2" s="190" t="s">
        <v>525</v>
      </c>
      <c r="F2" s="190" t="s">
        <v>526</v>
      </c>
      <c r="G2" s="190" t="s">
        <v>527</v>
      </c>
      <c r="H2" s="190" t="s">
        <v>528</v>
      </c>
      <c r="I2" s="190" t="s">
        <v>529</v>
      </c>
      <c r="J2" s="190" t="s">
        <v>530</v>
      </c>
      <c r="K2" s="190" t="s">
        <v>531</v>
      </c>
      <c r="L2" s="9" t="s">
        <v>532</v>
      </c>
      <c r="M2" s="88" t="s">
        <v>533</v>
      </c>
    </row>
    <row r="3" spans="1:13" ht="43.5" x14ac:dyDescent="0.35">
      <c r="A3" s="188">
        <v>1</v>
      </c>
      <c r="B3" s="191" t="s">
        <v>534</v>
      </c>
      <c r="C3" s="192" t="s">
        <v>535</v>
      </c>
      <c r="D3" s="193" t="s">
        <v>535</v>
      </c>
      <c r="E3" s="194" t="s">
        <v>535</v>
      </c>
      <c r="F3" s="188"/>
      <c r="G3" s="188"/>
      <c r="H3" s="193" t="s">
        <v>535</v>
      </c>
      <c r="I3" s="188"/>
      <c r="J3" s="194" t="s">
        <v>535</v>
      </c>
      <c r="K3" s="193" t="s">
        <v>535</v>
      </c>
      <c r="L3" s="18" t="s">
        <v>536</v>
      </c>
      <c r="M3" s="195" t="s">
        <v>537</v>
      </c>
    </row>
    <row r="4" spans="1:13" ht="58" x14ac:dyDescent="0.35">
      <c r="A4" s="188">
        <v>2</v>
      </c>
      <c r="B4" s="191" t="s">
        <v>538</v>
      </c>
      <c r="C4" s="188"/>
      <c r="D4" s="193" t="s">
        <v>535</v>
      </c>
      <c r="E4" s="188"/>
      <c r="F4" s="188"/>
      <c r="G4" s="188"/>
      <c r="H4" s="193" t="s">
        <v>535</v>
      </c>
      <c r="I4" s="188"/>
      <c r="J4" s="188" t="s">
        <v>535</v>
      </c>
      <c r="K4" s="193" t="s">
        <v>535</v>
      </c>
      <c r="L4" s="18" t="s">
        <v>539</v>
      </c>
      <c r="M4" s="191" t="s">
        <v>540</v>
      </c>
    </row>
    <row r="5" spans="1:13" ht="29" x14ac:dyDescent="0.35">
      <c r="A5" s="188">
        <v>3</v>
      </c>
      <c r="B5" s="191" t="s">
        <v>541</v>
      </c>
      <c r="C5" s="193" t="s">
        <v>535</v>
      </c>
      <c r="D5" s="193" t="s">
        <v>535</v>
      </c>
      <c r="E5" s="188"/>
      <c r="F5" s="188"/>
      <c r="G5" s="188"/>
      <c r="H5" s="193" t="s">
        <v>535</v>
      </c>
      <c r="I5" s="188"/>
      <c r="J5" s="194" t="s">
        <v>535</v>
      </c>
      <c r="K5" s="193" t="s">
        <v>535</v>
      </c>
      <c r="L5" s="18" t="s">
        <v>542</v>
      </c>
      <c r="M5" s="191" t="s">
        <v>543</v>
      </c>
    </row>
    <row r="6" spans="1:13" ht="72.5" x14ac:dyDescent="0.35">
      <c r="A6" s="188">
        <v>4</v>
      </c>
      <c r="B6" s="191" t="s">
        <v>544</v>
      </c>
      <c r="C6" s="193" t="s">
        <v>535</v>
      </c>
      <c r="D6" s="192" t="s">
        <v>535</v>
      </c>
      <c r="E6" s="193" t="s">
        <v>535</v>
      </c>
      <c r="F6" s="193" t="s">
        <v>535</v>
      </c>
      <c r="G6" s="188"/>
      <c r="H6" s="188"/>
      <c r="I6" s="188"/>
      <c r="J6" s="192" t="s">
        <v>535</v>
      </c>
      <c r="K6" s="192" t="s">
        <v>545</v>
      </c>
      <c r="L6" s="18" t="s">
        <v>546</v>
      </c>
      <c r="M6" s="191" t="s">
        <v>547</v>
      </c>
    </row>
    <row r="7" spans="1:13" ht="43.5" x14ac:dyDescent="0.35">
      <c r="A7" s="188">
        <v>5</v>
      </c>
      <c r="B7" s="191" t="s">
        <v>548</v>
      </c>
      <c r="C7" s="188"/>
      <c r="D7" s="192" t="s">
        <v>535</v>
      </c>
      <c r="E7" s="194" t="s">
        <v>535</v>
      </c>
      <c r="F7" s="193" t="s">
        <v>535</v>
      </c>
      <c r="G7" s="193" t="s">
        <v>535</v>
      </c>
      <c r="H7" s="188"/>
      <c r="I7" s="188"/>
      <c r="J7" s="192" t="s">
        <v>535</v>
      </c>
      <c r="K7" s="193" t="s">
        <v>535</v>
      </c>
      <c r="L7" s="18" t="s">
        <v>549</v>
      </c>
      <c r="M7" s="191" t="s">
        <v>550</v>
      </c>
    </row>
    <row r="8" spans="1:13" ht="43.5" x14ac:dyDescent="0.35">
      <c r="A8" s="188">
        <v>6</v>
      </c>
      <c r="B8" s="191" t="s">
        <v>551</v>
      </c>
      <c r="C8" s="188"/>
      <c r="D8" s="192" t="s">
        <v>535</v>
      </c>
      <c r="E8" s="194" t="s">
        <v>535</v>
      </c>
      <c r="F8" s="188"/>
      <c r="G8" s="188"/>
      <c r="H8" s="188"/>
      <c r="I8" s="188"/>
      <c r="J8" s="193" t="s">
        <v>535</v>
      </c>
      <c r="K8" s="194" t="s">
        <v>535</v>
      </c>
      <c r="L8" s="18" t="s">
        <v>552</v>
      </c>
      <c r="M8" s="191" t="s">
        <v>553</v>
      </c>
    </row>
    <row r="9" spans="1:13" x14ac:dyDescent="0.35">
      <c r="A9" s="188">
        <v>7</v>
      </c>
      <c r="B9" s="191" t="s">
        <v>554</v>
      </c>
      <c r="C9" s="188"/>
      <c r="D9" s="188"/>
      <c r="E9" s="188"/>
      <c r="F9" s="188"/>
      <c r="G9" s="188"/>
      <c r="H9" s="188"/>
      <c r="I9" s="188"/>
      <c r="J9" s="188"/>
      <c r="K9" s="194" t="s">
        <v>535</v>
      </c>
      <c r="L9" s="18" t="s">
        <v>68</v>
      </c>
      <c r="M9" s="191" t="s">
        <v>555</v>
      </c>
    </row>
    <row r="10" spans="1:13" ht="29" x14ac:dyDescent="0.35">
      <c r="A10" s="188">
        <v>8</v>
      </c>
      <c r="B10" s="191" t="s">
        <v>556</v>
      </c>
      <c r="C10" s="194" t="s">
        <v>535</v>
      </c>
      <c r="D10" s="188"/>
      <c r="E10" s="194" t="s">
        <v>535</v>
      </c>
      <c r="F10" s="188"/>
      <c r="G10" s="188"/>
      <c r="H10" s="193" t="s">
        <v>535</v>
      </c>
      <c r="I10" s="188"/>
      <c r="J10" s="188"/>
      <c r="K10" s="193" t="s">
        <v>535</v>
      </c>
      <c r="L10" s="18" t="s">
        <v>557</v>
      </c>
      <c r="M10" s="191" t="s">
        <v>558</v>
      </c>
    </row>
    <row r="11" spans="1:13" ht="43.5" x14ac:dyDescent="0.35">
      <c r="A11" s="188">
        <v>9</v>
      </c>
      <c r="B11" s="191" t="s">
        <v>559</v>
      </c>
      <c r="C11" s="193" t="s">
        <v>535</v>
      </c>
      <c r="D11" s="188" t="s">
        <v>68</v>
      </c>
      <c r="E11" s="188"/>
      <c r="F11" s="192" t="s">
        <v>535</v>
      </c>
      <c r="G11" s="192" t="s">
        <v>535</v>
      </c>
      <c r="H11" s="188"/>
      <c r="I11" s="193" t="s">
        <v>535</v>
      </c>
      <c r="J11" s="188"/>
      <c r="K11" s="194" t="s">
        <v>535</v>
      </c>
      <c r="L11" s="18" t="s">
        <v>560</v>
      </c>
      <c r="M11" s="191" t="s">
        <v>561</v>
      </c>
    </row>
    <row r="12" spans="1:13" ht="58" x14ac:dyDescent="0.35">
      <c r="A12" s="188">
        <v>10</v>
      </c>
      <c r="B12" s="191" t="s">
        <v>562</v>
      </c>
      <c r="C12" s="188"/>
      <c r="D12" s="188"/>
      <c r="E12" s="188"/>
      <c r="F12" s="193" t="s">
        <v>535</v>
      </c>
      <c r="G12" s="193" t="s">
        <v>535</v>
      </c>
      <c r="H12" s="188"/>
      <c r="I12" s="193" t="s">
        <v>535</v>
      </c>
      <c r="J12" s="188"/>
      <c r="K12" s="188"/>
      <c r="L12" s="18" t="s">
        <v>563</v>
      </c>
      <c r="M12" s="191" t="s">
        <v>564</v>
      </c>
    </row>
    <row r="13" spans="1:13" x14ac:dyDescent="0.35">
      <c r="A13" s="188">
        <v>11</v>
      </c>
      <c r="B13" s="191" t="s">
        <v>565</v>
      </c>
      <c r="C13" s="188"/>
      <c r="D13" s="188"/>
      <c r="E13" s="188"/>
      <c r="F13" s="188"/>
      <c r="G13" s="188"/>
      <c r="H13" s="188"/>
      <c r="I13" s="188"/>
      <c r="J13" s="193" t="s">
        <v>535</v>
      </c>
      <c r="K13" s="194" t="s">
        <v>535</v>
      </c>
      <c r="L13" s="18" t="s">
        <v>68</v>
      </c>
    </row>
    <row r="14" spans="1:13" ht="43.5" x14ac:dyDescent="0.35">
      <c r="A14" s="188">
        <v>12</v>
      </c>
      <c r="B14" s="191" t="s">
        <v>566</v>
      </c>
      <c r="C14" s="192" t="s">
        <v>535</v>
      </c>
      <c r="D14" s="131"/>
      <c r="E14" s="193" t="s">
        <v>535</v>
      </c>
      <c r="F14" s="188"/>
      <c r="G14" s="188"/>
      <c r="H14" s="193" t="s">
        <v>535</v>
      </c>
      <c r="I14" s="188"/>
      <c r="J14" s="192" t="s">
        <v>535</v>
      </c>
      <c r="K14" s="193" t="s">
        <v>535</v>
      </c>
      <c r="L14" s="18" t="s">
        <v>567</v>
      </c>
      <c r="M14" s="191" t="s">
        <v>568</v>
      </c>
    </row>
    <row r="15" spans="1:13" ht="29" x14ac:dyDescent="0.35">
      <c r="A15" s="188">
        <v>13</v>
      </c>
      <c r="B15" s="191" t="s">
        <v>429</v>
      </c>
      <c r="C15" s="194" t="s">
        <v>535</v>
      </c>
      <c r="D15" s="193" t="s">
        <v>569</v>
      </c>
      <c r="E15" s="188"/>
      <c r="F15" s="188"/>
      <c r="G15" s="188"/>
      <c r="H15" s="194" t="s">
        <v>535</v>
      </c>
      <c r="I15" s="188"/>
      <c r="J15" s="193" t="s">
        <v>545</v>
      </c>
      <c r="K15" s="192" t="s">
        <v>535</v>
      </c>
      <c r="L15" s="18" t="s">
        <v>570</v>
      </c>
      <c r="M15" s="191" t="s">
        <v>571</v>
      </c>
    </row>
    <row r="16" spans="1:13" ht="29" x14ac:dyDescent="0.35">
      <c r="A16" s="188">
        <v>14</v>
      </c>
      <c r="B16" s="191" t="s">
        <v>572</v>
      </c>
      <c r="C16" s="188"/>
      <c r="D16" s="188"/>
      <c r="E16" s="194" t="s">
        <v>535</v>
      </c>
      <c r="F16" s="188"/>
      <c r="G16" s="188"/>
      <c r="H16" s="188"/>
      <c r="I16" s="188"/>
      <c r="J16" s="188"/>
      <c r="K16" s="194" t="s">
        <v>535</v>
      </c>
      <c r="L16" s="18" t="s">
        <v>573</v>
      </c>
      <c r="M16" s="191" t="s">
        <v>574</v>
      </c>
    </row>
    <row r="17" spans="1:13" ht="58" x14ac:dyDescent="0.35">
      <c r="A17" s="188">
        <v>15</v>
      </c>
      <c r="B17" s="191" t="s">
        <v>575</v>
      </c>
      <c r="C17" s="192" t="s">
        <v>535</v>
      </c>
      <c r="D17" s="188"/>
      <c r="E17" s="188"/>
      <c r="F17" s="193" t="s">
        <v>535</v>
      </c>
      <c r="G17" s="188"/>
      <c r="H17" s="193" t="s">
        <v>535</v>
      </c>
      <c r="I17" s="193" t="s">
        <v>535</v>
      </c>
      <c r="J17" s="193" t="s">
        <v>535</v>
      </c>
      <c r="K17" s="192" t="s">
        <v>535</v>
      </c>
      <c r="L17" s="18" t="s">
        <v>576</v>
      </c>
      <c r="M17" s="191" t="s">
        <v>577</v>
      </c>
    </row>
    <row r="18" spans="1:13" ht="29" x14ac:dyDescent="0.35">
      <c r="A18" s="188">
        <v>16</v>
      </c>
      <c r="B18" s="191" t="s">
        <v>578</v>
      </c>
      <c r="C18" s="192" t="s">
        <v>535</v>
      </c>
      <c r="D18" s="188"/>
      <c r="E18" s="192" t="s">
        <v>535</v>
      </c>
      <c r="F18" s="188"/>
      <c r="G18" s="188"/>
      <c r="H18" s="193" t="s">
        <v>535</v>
      </c>
      <c r="I18" s="193" t="s">
        <v>535</v>
      </c>
      <c r="J18" s="193" t="s">
        <v>535</v>
      </c>
      <c r="K18" s="192" t="s">
        <v>535</v>
      </c>
      <c r="L18" s="18" t="s">
        <v>579</v>
      </c>
      <c r="M18" s="191" t="s">
        <v>580</v>
      </c>
    </row>
    <row r="19" spans="1:13" ht="29" x14ac:dyDescent="0.35">
      <c r="A19" s="188">
        <v>17</v>
      </c>
      <c r="B19" s="186" t="s">
        <v>581</v>
      </c>
      <c r="C19" s="188"/>
      <c r="D19" s="188"/>
      <c r="E19" s="188"/>
      <c r="F19" s="188"/>
      <c r="G19" s="188"/>
      <c r="H19" s="193" t="s">
        <v>535</v>
      </c>
      <c r="I19" s="194" t="s">
        <v>535</v>
      </c>
      <c r="J19" s="188"/>
      <c r="K19" s="188"/>
      <c r="L19" s="18" t="s">
        <v>582</v>
      </c>
      <c r="M19" s="191" t="s">
        <v>583</v>
      </c>
    </row>
    <row r="20" spans="1:13" x14ac:dyDescent="0.35">
      <c r="A20" s="188">
        <v>18</v>
      </c>
      <c r="B20" s="191" t="s">
        <v>584</v>
      </c>
      <c r="C20" s="188"/>
      <c r="D20" s="194" t="s">
        <v>535</v>
      </c>
      <c r="E20" s="188"/>
      <c r="F20" s="188"/>
      <c r="G20" s="188"/>
      <c r="H20" s="188"/>
      <c r="I20" s="188"/>
      <c r="J20" s="194" t="s">
        <v>535</v>
      </c>
      <c r="K20" s="188"/>
      <c r="L20" s="18" t="s">
        <v>585</v>
      </c>
      <c r="M20" s="191" t="s">
        <v>586</v>
      </c>
    </row>
    <row r="21" spans="1:13" x14ac:dyDescent="0.35">
      <c r="A21" s="188">
        <v>19</v>
      </c>
      <c r="B21" s="191" t="s">
        <v>587</v>
      </c>
      <c r="C21" s="194" t="s">
        <v>535</v>
      </c>
      <c r="D21" s="188"/>
      <c r="E21" s="188"/>
      <c r="F21" s="188"/>
      <c r="G21" s="188"/>
      <c r="H21" s="192" t="s">
        <v>535</v>
      </c>
      <c r="I21" s="188"/>
      <c r="J21" s="188"/>
      <c r="K21" s="188"/>
      <c r="L21" s="18" t="s">
        <v>588</v>
      </c>
      <c r="M21" s="191" t="s">
        <v>589</v>
      </c>
    </row>
    <row r="22" spans="1:13" ht="43.5" x14ac:dyDescent="0.35">
      <c r="A22" s="188">
        <v>20</v>
      </c>
      <c r="B22" s="191" t="s">
        <v>590</v>
      </c>
      <c r="C22" s="188"/>
      <c r="D22" s="192" t="s">
        <v>535</v>
      </c>
      <c r="E22" s="193" t="s">
        <v>535</v>
      </c>
      <c r="F22" s="188"/>
      <c r="G22" s="192" t="s">
        <v>535</v>
      </c>
      <c r="H22" s="188"/>
      <c r="I22" s="188"/>
      <c r="J22" s="192" t="s">
        <v>535</v>
      </c>
      <c r="K22" s="193" t="s">
        <v>535</v>
      </c>
      <c r="L22" s="18" t="s">
        <v>591</v>
      </c>
      <c r="M22" s="191" t="s">
        <v>592</v>
      </c>
    </row>
    <row r="23" spans="1:13" x14ac:dyDescent="0.35">
      <c r="A23" s="188"/>
      <c r="B23" s="191" t="s">
        <v>593</v>
      </c>
      <c r="C23" s="188"/>
      <c r="D23" s="192"/>
      <c r="E23" s="193"/>
      <c r="F23" s="188"/>
      <c r="G23" s="192"/>
      <c r="H23" s="188"/>
      <c r="I23" s="188"/>
      <c r="J23" s="192"/>
      <c r="K23" s="193"/>
      <c r="L23" s="18" t="s">
        <v>594</v>
      </c>
      <c r="M23" s="191" t="s">
        <v>595</v>
      </c>
    </row>
    <row r="24" spans="1:13" ht="29" x14ac:dyDescent="0.35">
      <c r="A24" s="188">
        <v>21</v>
      </c>
      <c r="B24" s="191" t="s">
        <v>596</v>
      </c>
      <c r="C24" s="188"/>
      <c r="D24" s="192" t="s">
        <v>535</v>
      </c>
      <c r="E24" s="192" t="s">
        <v>535</v>
      </c>
      <c r="F24" s="188"/>
      <c r="G24" s="188"/>
      <c r="H24" s="193" t="s">
        <v>535</v>
      </c>
      <c r="I24" s="188"/>
      <c r="J24" s="192" t="s">
        <v>535</v>
      </c>
      <c r="K24" s="193" t="s">
        <v>535</v>
      </c>
      <c r="L24" s="18" t="s">
        <v>597</v>
      </c>
      <c r="M24" s="191" t="s">
        <v>598</v>
      </c>
    </row>
  </sheetData>
  <sheetProtection algorithmName="SHA-512" hashValue="ZMCrkoXQiDLhhFKvs8mLcRFg7bJ5yEYps05vJUFUJGZCxd5/W7PzP8PkNj4hPX9DOqOPlYmNsR37CKHZxOi1/g==" saltValue="KHnSiRIpDX8MHVdk91GOqg==" spinCount="100000" sheet="1" objects="1" scenarios="1"/>
  <mergeCells count="1">
    <mergeCell ref="C1:K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E561F-7BBF-4901-BEFD-779E757AC974}">
  <dimension ref="A1:AA52"/>
  <sheetViews>
    <sheetView workbookViewId="0">
      <pane ySplit="9" topLeftCell="A20" activePane="bottomLeft" state="frozen"/>
      <selection pane="bottomLeft" activeCell="E9" sqref="E9"/>
    </sheetView>
  </sheetViews>
  <sheetFormatPr defaultRowHeight="14.5" x14ac:dyDescent="0.35"/>
  <cols>
    <col min="1" max="1" width="22.1796875" style="1" customWidth="1"/>
    <col min="2" max="2" width="17.453125" style="8" customWidth="1"/>
    <col min="3" max="3" width="12" style="8" customWidth="1"/>
    <col min="4" max="4" width="14" style="8" customWidth="1"/>
    <col min="5" max="6" width="14.1796875" style="8" customWidth="1"/>
    <col min="7" max="7" width="13.54296875" style="85" customWidth="1"/>
    <col min="8" max="8" width="13.1796875" style="85" customWidth="1"/>
    <col min="9" max="10" width="13.26953125" style="85" customWidth="1"/>
    <col min="11" max="11" width="14.54296875" style="85" customWidth="1"/>
    <col min="12" max="12" width="18" style="8" customWidth="1"/>
    <col min="13" max="13" width="16.26953125" style="2" customWidth="1"/>
    <col min="14" max="14" width="16.1796875" style="85" customWidth="1"/>
    <col min="15" max="15" width="16" style="85" customWidth="1"/>
    <col min="16" max="16" width="15.26953125" style="85" customWidth="1"/>
    <col min="17" max="17" width="14.1796875" style="85" customWidth="1"/>
    <col min="18" max="18" width="15.7265625" style="85" customWidth="1"/>
    <col min="19" max="20" width="13.26953125" style="85" customWidth="1"/>
    <col min="21" max="22" width="13.7265625" style="85" customWidth="1"/>
    <col min="23" max="23" width="13.7265625" style="85" bestFit="1" customWidth="1"/>
    <col min="24" max="24" width="17.54296875" style="85" customWidth="1"/>
    <col min="25" max="25" width="16" style="85" customWidth="1"/>
    <col min="26" max="26" width="14.7265625" style="85" bestFit="1" customWidth="1"/>
    <col min="27" max="27" width="14.54296875" style="85" customWidth="1"/>
  </cols>
  <sheetData>
    <row r="1" spans="1:27" hidden="1" x14ac:dyDescent="0.35">
      <c r="A1" s="43" t="s">
        <v>599</v>
      </c>
    </row>
    <row r="2" spans="1:27" hidden="1" x14ac:dyDescent="0.35"/>
    <row r="3" spans="1:27" hidden="1" x14ac:dyDescent="0.35">
      <c r="A3" s="1" t="s">
        <v>600</v>
      </c>
    </row>
    <row r="4" spans="1:27" hidden="1" x14ac:dyDescent="0.35"/>
    <row r="5" spans="1:27" hidden="1" x14ac:dyDescent="0.35">
      <c r="A5" s="43" t="s">
        <v>601</v>
      </c>
    </row>
    <row r="6" spans="1:27" x14ac:dyDescent="0.35">
      <c r="A6" s="43"/>
    </row>
    <row r="7" spans="1:27" x14ac:dyDescent="0.35">
      <c r="A7" s="43"/>
      <c r="L7" s="229" t="s">
        <v>602</v>
      </c>
      <c r="M7" s="230"/>
      <c r="N7" s="231"/>
    </row>
    <row r="8" spans="1:27" s="167" customFormat="1" ht="58" x14ac:dyDescent="0.35">
      <c r="A8" s="209" t="s">
        <v>603</v>
      </c>
      <c r="B8" s="166" t="s">
        <v>350</v>
      </c>
      <c r="C8" s="166" t="str">
        <f>LoS!B10</f>
        <v>Knobs Flat short walks</v>
      </c>
      <c r="D8" s="166" t="str">
        <f>LoS!B11</f>
        <v>Countess Range Track &amp; Hut (option 2)</v>
      </c>
      <c r="E8" s="166" t="str">
        <f>LoS!B12</f>
        <v>Countess Range Track &amp; Hut (option 1)</v>
      </c>
      <c r="F8" s="166" t="s">
        <v>604</v>
      </c>
      <c r="G8" s="166" t="s">
        <v>605</v>
      </c>
      <c r="H8" s="166" t="str">
        <f>LoS!B29</f>
        <v>Lake Marian Track - Upgrade</v>
      </c>
      <c r="I8" s="166" t="str">
        <f>LoS!B30</f>
        <v>Lake Marian Loop - True left</v>
      </c>
      <c r="J8" s="166" t="s">
        <v>419</v>
      </c>
      <c r="K8" s="166" t="str">
        <f>LoS!B31</f>
        <v>Covered Nature Trail (accessible)</v>
      </c>
      <c r="L8" s="166" t="s">
        <v>606</v>
      </c>
      <c r="M8" s="166" t="str">
        <f>LoS!B26</f>
        <v>Te Anau Downs to Black Creek following SH94</v>
      </c>
      <c r="N8" s="166" t="s">
        <v>607</v>
      </c>
      <c r="O8" s="166" t="s">
        <v>608</v>
      </c>
      <c r="P8" s="166" t="s">
        <v>608</v>
      </c>
      <c r="Q8" s="166" t="str">
        <f>LoS!B35</f>
        <v>Key Summit Ridge Loop</v>
      </c>
      <c r="R8" s="166" t="str">
        <f>LoS!B36</f>
        <v>Divide Creek link Track</v>
      </c>
      <c r="S8" s="166" t="str">
        <f>LoS!B32</f>
        <v>Pass Creek Link Track</v>
      </c>
      <c r="T8" s="166" t="str">
        <f>LoS!B37</f>
        <v>Pass Creek Track upgrade</v>
      </c>
      <c r="U8" s="166" t="str">
        <f>LoS!B39</f>
        <v>Gertrude Loop</v>
      </c>
      <c r="V8" s="166" t="s">
        <v>609</v>
      </c>
      <c r="W8" s="214" t="s">
        <v>581</v>
      </c>
      <c r="X8" s="212" t="s">
        <v>485</v>
      </c>
      <c r="Y8" s="196" t="s">
        <v>610</v>
      </c>
      <c r="Z8" s="197" t="s">
        <v>611</v>
      </c>
      <c r="AA8" s="166" t="str">
        <f>LoS!B45</f>
        <v xml:space="preserve">Cleddau Delta Walks </v>
      </c>
    </row>
    <row r="9" spans="1:27" s="172" customFormat="1" ht="43.5" x14ac:dyDescent="0.35">
      <c r="A9" s="210" t="s">
        <v>612</v>
      </c>
      <c r="B9" s="168" t="s">
        <v>613</v>
      </c>
      <c r="C9" s="169" t="s">
        <v>614</v>
      </c>
      <c r="D9" s="170" t="s">
        <v>615</v>
      </c>
      <c r="E9" s="170" t="s">
        <v>616</v>
      </c>
      <c r="F9" s="170" t="s">
        <v>614</v>
      </c>
      <c r="G9" s="169" t="s">
        <v>614</v>
      </c>
      <c r="H9" s="169" t="s">
        <v>617</v>
      </c>
      <c r="I9" s="169" t="s">
        <v>617</v>
      </c>
      <c r="J9" s="169" t="s">
        <v>614</v>
      </c>
      <c r="K9" s="169" t="s">
        <v>614</v>
      </c>
      <c r="L9" s="170" t="s">
        <v>618</v>
      </c>
      <c r="M9" s="171" t="s">
        <v>619</v>
      </c>
      <c r="N9" s="170" t="s">
        <v>618</v>
      </c>
      <c r="O9" s="169" t="s">
        <v>617</v>
      </c>
      <c r="P9" s="169" t="s">
        <v>620</v>
      </c>
      <c r="Q9" s="169" t="s">
        <v>617</v>
      </c>
      <c r="R9" s="169" t="s">
        <v>617</v>
      </c>
      <c r="S9" s="169" t="s">
        <v>617</v>
      </c>
      <c r="T9" s="169" t="s">
        <v>617</v>
      </c>
      <c r="U9" s="169" t="s">
        <v>614</v>
      </c>
      <c r="V9" s="169" t="s">
        <v>621</v>
      </c>
      <c r="W9" s="213" t="s">
        <v>621</v>
      </c>
      <c r="X9" s="169" t="s">
        <v>614</v>
      </c>
      <c r="Y9" s="169" t="s">
        <v>622</v>
      </c>
      <c r="Z9" s="169" t="s">
        <v>614</v>
      </c>
      <c r="AA9" s="169" t="s">
        <v>614</v>
      </c>
    </row>
    <row r="10" spans="1:27" x14ac:dyDescent="0.35">
      <c r="A10" s="151" t="s">
        <v>623</v>
      </c>
      <c r="B10" s="152">
        <f>LoS!C9</f>
        <v>500</v>
      </c>
      <c r="C10" s="153">
        <f>LoS!C10</f>
        <v>1300</v>
      </c>
      <c r="D10" s="153">
        <f>Cost!G45</f>
        <v>12000</v>
      </c>
      <c r="E10" s="153">
        <f>Cost!E61</f>
        <v>11000</v>
      </c>
      <c r="F10" s="153">
        <f>Cost!D71</f>
        <v>1400</v>
      </c>
      <c r="G10" s="153">
        <f>Cost!D79</f>
        <v>750</v>
      </c>
      <c r="H10" s="153">
        <f>LoS!C29</f>
        <v>2370</v>
      </c>
      <c r="I10" s="153">
        <f>LoS!C30</f>
        <v>3200</v>
      </c>
      <c r="J10" s="153">
        <f>Cost!D137</f>
        <v>500</v>
      </c>
      <c r="K10" s="153">
        <f>LoS!C31</f>
        <v>330</v>
      </c>
      <c r="L10" s="153">
        <f>'Cost (2)'!D131</f>
        <v>55450</v>
      </c>
      <c r="M10" s="152">
        <f>'Cost (2)'!D272</f>
        <v>30720</v>
      </c>
      <c r="N10" s="153">
        <f>'Cost (2)'!D205</f>
        <v>8830</v>
      </c>
      <c r="O10" s="153">
        <f>LoS!C33</f>
        <v>17200</v>
      </c>
      <c r="P10" s="153">
        <f>LoS!C34</f>
        <v>17200</v>
      </c>
      <c r="Q10" s="87"/>
      <c r="R10" s="153">
        <f>LoS!C36</f>
        <v>2700</v>
      </c>
      <c r="S10" s="153">
        <f>LoS!C32</f>
        <v>3000</v>
      </c>
      <c r="T10" s="153">
        <f>LoS!C37</f>
        <v>3200</v>
      </c>
      <c r="U10" s="153">
        <f>LoS!C39</f>
        <v>1840</v>
      </c>
      <c r="V10" s="153">
        <f>LoS!C40</f>
        <v>3200</v>
      </c>
      <c r="W10" s="153">
        <f>LoS!C41</f>
        <v>2350</v>
      </c>
      <c r="X10" s="156">
        <f>LoS!C42</f>
        <v>350</v>
      </c>
      <c r="Y10" s="37">
        <f>Cost!D315</f>
        <v>990</v>
      </c>
      <c r="Z10" s="37">
        <f>Cost!D329+Cost!D343</f>
        <v>450</v>
      </c>
      <c r="AA10" s="37">
        <f>Cost!D363</f>
        <v>2100</v>
      </c>
    </row>
    <row r="11" spans="1:27" s="164" customFormat="1" x14ac:dyDescent="0.35">
      <c r="A11" s="175" t="s">
        <v>624</v>
      </c>
      <c r="B11" s="199">
        <f>Cost!M12</f>
        <v>28666.666666666668</v>
      </c>
      <c r="C11" s="199">
        <f>Cost!M23</f>
        <v>226571.78571428571</v>
      </c>
      <c r="D11" s="199">
        <f>Cost!M48</f>
        <v>2111607.1428571427</v>
      </c>
      <c r="E11" s="199">
        <f>Cost!M63</f>
        <v>366666.66666666669</v>
      </c>
      <c r="F11" s="199">
        <f>Cost!M73</f>
        <v>46666.666666666672</v>
      </c>
      <c r="G11" s="199">
        <f>Cost!M84</f>
        <v>258900</v>
      </c>
      <c r="H11" s="199">
        <f>Cost!M106</f>
        <v>730000</v>
      </c>
      <c r="I11" s="199">
        <f>Cost!M128</f>
        <v>1140000</v>
      </c>
      <c r="J11" s="199">
        <f>Cost!M139</f>
        <v>365000</v>
      </c>
      <c r="K11" s="199">
        <f>Cost!M152</f>
        <v>107367.5</v>
      </c>
      <c r="L11" s="199">
        <f>'Cost (2)'!H162</f>
        <v>11275657.238095239</v>
      </c>
      <c r="M11" s="199">
        <f>'Cost (2)'!M274</f>
        <v>5284870.833333334</v>
      </c>
      <c r="N11" s="199">
        <f>'Cost (2)'!M207</f>
        <v>2556600</v>
      </c>
      <c r="O11" s="199">
        <f>Cost!M181</f>
        <v>2757457.1428571427</v>
      </c>
      <c r="P11" s="199">
        <f>Cost!M192</f>
        <v>298300</v>
      </c>
      <c r="Q11" s="199">
        <v>0</v>
      </c>
      <c r="R11" s="199">
        <f>Cost!M213</f>
        <v>1067500</v>
      </c>
      <c r="S11" s="199">
        <f>Cost!M165</f>
        <v>840650</v>
      </c>
      <c r="T11" s="199">
        <f>Cost!M235</f>
        <v>494285.71428571432</v>
      </c>
      <c r="U11" s="199">
        <f>Cost!M248</f>
        <v>1172415.2380952381</v>
      </c>
      <c r="V11" s="199">
        <f>Cost!M266</f>
        <v>1791980</v>
      </c>
      <c r="W11" s="199">
        <f>Cost!M284</f>
        <v>433946.42857142858</v>
      </c>
      <c r="X11" s="199">
        <f>Cost!M301</f>
        <v>233971.42857142858</v>
      </c>
      <c r="Y11" s="199">
        <f>Cost!M317</f>
        <v>235454.28571428571</v>
      </c>
      <c r="Z11" s="199">
        <f>Cost!M331</f>
        <v>18170.833333333336</v>
      </c>
      <c r="AA11" s="199">
        <f>Cost!M365</f>
        <v>372825</v>
      </c>
    </row>
    <row r="12" spans="1:27" s="165" customFormat="1" x14ac:dyDescent="0.35">
      <c r="A12" s="176" t="s">
        <v>284</v>
      </c>
      <c r="B12" s="203">
        <f>Cost!T13</f>
        <v>108000</v>
      </c>
      <c r="C12" s="203">
        <f>Cost!T24</f>
        <v>303850</v>
      </c>
      <c r="D12" s="203">
        <f>Cost!T49</f>
        <v>734829.52380952379</v>
      </c>
      <c r="E12" s="203">
        <f>Cost!T64</f>
        <v>307900</v>
      </c>
      <c r="F12" s="203">
        <f>Cost!T74</f>
        <v>70000</v>
      </c>
      <c r="G12" s="203">
        <f>Cost!T85</f>
        <v>167500</v>
      </c>
      <c r="H12" s="203">
        <f>Cost!T107</f>
        <v>109245</v>
      </c>
      <c r="I12" s="203">
        <f>Cost!T129</f>
        <v>318000</v>
      </c>
      <c r="J12" s="203">
        <f>Cost!T140</f>
        <v>670275</v>
      </c>
      <c r="K12" s="203">
        <f>Cost!T153</f>
        <v>973500</v>
      </c>
      <c r="L12" s="203">
        <f>'Cost (2)'!O160</f>
        <v>6015429.5238095243</v>
      </c>
      <c r="M12" s="203">
        <f>'Cost (2)'!T275</f>
        <v>3054300</v>
      </c>
      <c r="N12" s="203">
        <f>'Cost (2)'!T208</f>
        <v>13627800</v>
      </c>
      <c r="O12" s="203">
        <f>Cost!T182</f>
        <v>1048000</v>
      </c>
      <c r="P12" s="203">
        <f>Cost!T193</f>
        <v>215550</v>
      </c>
      <c r="Q12" s="203">
        <v>0</v>
      </c>
      <c r="R12" s="203">
        <f>Cost!T214</f>
        <v>430900</v>
      </c>
      <c r="S12" s="203">
        <f>Cost!T166</f>
        <v>196600</v>
      </c>
      <c r="T12" s="203">
        <f>Cost!T236</f>
        <v>336500</v>
      </c>
      <c r="U12" s="203">
        <f>Cost!T249</f>
        <v>432500</v>
      </c>
      <c r="V12" s="203">
        <f>Cost!T267</f>
        <v>1675000</v>
      </c>
      <c r="W12" s="203">
        <f>Cost!T285</f>
        <v>257100</v>
      </c>
      <c r="X12" s="203">
        <f>Cost!T302</f>
        <v>205000</v>
      </c>
      <c r="Y12" s="203">
        <f>Cost!T318</f>
        <v>711025</v>
      </c>
      <c r="Z12" s="203">
        <f>Cost!T332</f>
        <v>1143500</v>
      </c>
      <c r="AA12" s="203">
        <f>Cost!T366</f>
        <v>422000</v>
      </c>
    </row>
    <row r="13" spans="1:27" s="164" customFormat="1" x14ac:dyDescent="0.35">
      <c r="A13" s="175" t="s">
        <v>625</v>
      </c>
      <c r="B13" s="199"/>
      <c r="C13" s="199"/>
      <c r="D13" s="199">
        <f>Hut!D80</f>
        <v>3388000</v>
      </c>
      <c r="E13" s="199">
        <f>Hut!D79</f>
        <v>2079000</v>
      </c>
      <c r="F13" s="199">
        <f>Hut!E79</f>
        <v>0</v>
      </c>
      <c r="G13" s="199" t="s">
        <v>68</v>
      </c>
      <c r="H13" s="199" t="s">
        <v>68</v>
      </c>
      <c r="I13" s="199" t="s">
        <v>68</v>
      </c>
      <c r="J13" s="199"/>
      <c r="K13" s="199" t="s">
        <v>68</v>
      </c>
      <c r="L13" s="199"/>
      <c r="M13" s="199"/>
      <c r="N13" s="199"/>
      <c r="O13" s="199"/>
      <c r="P13" s="199"/>
      <c r="Q13" s="199"/>
      <c r="R13" s="199"/>
      <c r="S13" s="199"/>
      <c r="T13" s="199"/>
      <c r="U13" s="199"/>
      <c r="V13" s="199"/>
      <c r="W13" s="199"/>
      <c r="X13" s="199"/>
      <c r="Y13" s="199"/>
      <c r="Z13" s="199"/>
      <c r="AA13" s="199"/>
    </row>
    <row r="14" spans="1:27" s="165" customFormat="1" x14ac:dyDescent="0.35">
      <c r="A14" s="176" t="s">
        <v>626</v>
      </c>
      <c r="B14" s="203">
        <f>SUM(B11:B12)</f>
        <v>136666.66666666666</v>
      </c>
      <c r="C14" s="203">
        <f>SUM(C11:C12)</f>
        <v>530421.78571428568</v>
      </c>
      <c r="D14" s="203">
        <f>SUM(D11:D13)</f>
        <v>6234436.666666666</v>
      </c>
      <c r="E14" s="203">
        <f>SUM(E11:E13)</f>
        <v>2753566.666666667</v>
      </c>
      <c r="F14" s="203">
        <f>SUM(F11:F13)</f>
        <v>116666.66666666667</v>
      </c>
      <c r="G14" s="203">
        <f t="shared" ref="G14:AA14" si="0">SUM(G11:G12)</f>
        <v>426400</v>
      </c>
      <c r="H14" s="203">
        <f t="shared" si="0"/>
        <v>839245</v>
      </c>
      <c r="I14" s="203">
        <f t="shared" si="0"/>
        <v>1458000</v>
      </c>
      <c r="J14" s="203">
        <f t="shared" ref="J14" si="1">SUM(J11:J12)</f>
        <v>1035275</v>
      </c>
      <c r="K14" s="203">
        <f t="shared" si="0"/>
        <v>1080867.5</v>
      </c>
      <c r="L14" s="203">
        <f t="shared" si="0"/>
        <v>17291086.761904761</v>
      </c>
      <c r="M14" s="203">
        <f t="shared" si="0"/>
        <v>8339170.833333334</v>
      </c>
      <c r="N14" s="203">
        <f t="shared" si="0"/>
        <v>16184400</v>
      </c>
      <c r="O14" s="203">
        <f t="shared" si="0"/>
        <v>3805457.1428571427</v>
      </c>
      <c r="P14" s="203">
        <f t="shared" si="0"/>
        <v>513850</v>
      </c>
      <c r="Q14" s="203">
        <f t="shared" si="0"/>
        <v>0</v>
      </c>
      <c r="R14" s="203">
        <f t="shared" si="0"/>
        <v>1498400</v>
      </c>
      <c r="S14" s="203">
        <f t="shared" si="0"/>
        <v>1037250</v>
      </c>
      <c r="T14" s="203">
        <f t="shared" si="0"/>
        <v>830785.71428571432</v>
      </c>
      <c r="U14" s="203">
        <f t="shared" si="0"/>
        <v>1604915.2380952381</v>
      </c>
      <c r="V14" s="203">
        <f t="shared" si="0"/>
        <v>3466980</v>
      </c>
      <c r="W14" s="203">
        <f t="shared" si="0"/>
        <v>691046.42857142864</v>
      </c>
      <c r="X14" s="203">
        <f t="shared" si="0"/>
        <v>438971.42857142858</v>
      </c>
      <c r="Y14" s="203">
        <f t="shared" si="0"/>
        <v>946479.28571428568</v>
      </c>
      <c r="Z14" s="203">
        <f t="shared" si="0"/>
        <v>1161670.8333333333</v>
      </c>
      <c r="AA14" s="203">
        <f t="shared" si="0"/>
        <v>794825</v>
      </c>
    </row>
    <row r="15" spans="1:27" s="164" customFormat="1" x14ac:dyDescent="0.35">
      <c r="A15" s="175" t="s">
        <v>627</v>
      </c>
      <c r="B15" s="199">
        <f t="shared" ref="B15:AA15" si="2">B14*0.2</f>
        <v>27333.333333333332</v>
      </c>
      <c r="C15" s="199">
        <f t="shared" si="2"/>
        <v>106084.35714285714</v>
      </c>
      <c r="D15" s="199">
        <f t="shared" si="2"/>
        <v>1246887.3333333333</v>
      </c>
      <c r="E15" s="199">
        <f t="shared" si="2"/>
        <v>550713.33333333337</v>
      </c>
      <c r="F15" s="199">
        <f t="shared" ref="F15" si="3">F14*0.2</f>
        <v>23333.333333333336</v>
      </c>
      <c r="G15" s="199">
        <f t="shared" si="2"/>
        <v>85280</v>
      </c>
      <c r="H15" s="199">
        <f t="shared" si="2"/>
        <v>167849</v>
      </c>
      <c r="I15" s="199">
        <f t="shared" si="2"/>
        <v>291600</v>
      </c>
      <c r="J15" s="199">
        <f t="shared" ref="J15" si="4">J14*0.2</f>
        <v>207055</v>
      </c>
      <c r="K15" s="199">
        <f t="shared" si="2"/>
        <v>216173.5</v>
      </c>
      <c r="L15" s="199">
        <f t="shared" si="2"/>
        <v>3458217.3523809523</v>
      </c>
      <c r="M15" s="199">
        <f t="shared" si="2"/>
        <v>1667834.166666667</v>
      </c>
      <c r="N15" s="199">
        <f t="shared" si="2"/>
        <v>3236880</v>
      </c>
      <c r="O15" s="199">
        <f t="shared" si="2"/>
        <v>761091.42857142864</v>
      </c>
      <c r="P15" s="199">
        <f t="shared" si="2"/>
        <v>102770</v>
      </c>
      <c r="Q15" s="199">
        <f t="shared" si="2"/>
        <v>0</v>
      </c>
      <c r="R15" s="199">
        <f t="shared" si="2"/>
        <v>299680</v>
      </c>
      <c r="S15" s="199">
        <f t="shared" si="2"/>
        <v>207450</v>
      </c>
      <c r="T15" s="199">
        <f t="shared" si="2"/>
        <v>166157.14285714287</v>
      </c>
      <c r="U15" s="199">
        <f t="shared" si="2"/>
        <v>320983.04761904763</v>
      </c>
      <c r="V15" s="199">
        <f t="shared" si="2"/>
        <v>693396</v>
      </c>
      <c r="W15" s="199">
        <f t="shared" si="2"/>
        <v>138209.28571428574</v>
      </c>
      <c r="X15" s="199">
        <f t="shared" si="2"/>
        <v>87794.285714285725</v>
      </c>
      <c r="Y15" s="199">
        <f t="shared" si="2"/>
        <v>189295.85714285716</v>
      </c>
      <c r="Z15" s="199">
        <f t="shared" si="2"/>
        <v>232334.16666666666</v>
      </c>
      <c r="AA15" s="199">
        <f t="shared" si="2"/>
        <v>158965</v>
      </c>
    </row>
    <row r="16" spans="1:27" s="165" customFormat="1" x14ac:dyDescent="0.35">
      <c r="A16" s="176" t="s">
        <v>628</v>
      </c>
      <c r="B16" s="203">
        <f t="shared" ref="B16:AA16" si="5">B14+B15</f>
        <v>164000</v>
      </c>
      <c r="C16" s="203">
        <f t="shared" si="5"/>
        <v>636506.14285714284</v>
      </c>
      <c r="D16" s="203">
        <f t="shared" si="5"/>
        <v>7481323.9999999991</v>
      </c>
      <c r="E16" s="203">
        <f t="shared" si="5"/>
        <v>3304280.0000000005</v>
      </c>
      <c r="F16" s="203">
        <f t="shared" ref="F16" si="6">F14+F15</f>
        <v>140000</v>
      </c>
      <c r="G16" s="203">
        <f t="shared" si="5"/>
        <v>511680</v>
      </c>
      <c r="H16" s="203">
        <f t="shared" si="5"/>
        <v>1007094</v>
      </c>
      <c r="I16" s="203">
        <f t="shared" si="5"/>
        <v>1749600</v>
      </c>
      <c r="J16" s="203">
        <f t="shared" ref="J16" si="7">J14+J15</f>
        <v>1242330</v>
      </c>
      <c r="K16" s="203">
        <f t="shared" si="5"/>
        <v>1297041</v>
      </c>
      <c r="L16" s="203">
        <f t="shared" si="5"/>
        <v>20749304.114285715</v>
      </c>
      <c r="M16" s="203">
        <f t="shared" si="5"/>
        <v>10007005</v>
      </c>
      <c r="N16" s="203">
        <f t="shared" si="5"/>
        <v>19421280</v>
      </c>
      <c r="O16" s="203">
        <f t="shared" si="5"/>
        <v>4566548.5714285709</v>
      </c>
      <c r="P16" s="203">
        <f t="shared" si="5"/>
        <v>616620</v>
      </c>
      <c r="Q16" s="203">
        <f t="shared" si="5"/>
        <v>0</v>
      </c>
      <c r="R16" s="203">
        <f t="shared" si="5"/>
        <v>1798080</v>
      </c>
      <c r="S16" s="203">
        <f t="shared" si="5"/>
        <v>1244700</v>
      </c>
      <c r="T16" s="203">
        <f t="shared" si="5"/>
        <v>996942.85714285716</v>
      </c>
      <c r="U16" s="203">
        <f t="shared" si="5"/>
        <v>1925898.2857142857</v>
      </c>
      <c r="V16" s="203">
        <f t="shared" si="5"/>
        <v>4160376</v>
      </c>
      <c r="W16" s="203">
        <f t="shared" si="5"/>
        <v>829255.71428571432</v>
      </c>
      <c r="X16" s="203">
        <f t="shared" si="5"/>
        <v>526765.71428571432</v>
      </c>
      <c r="Y16" s="203">
        <f t="shared" si="5"/>
        <v>1135775.1428571427</v>
      </c>
      <c r="Z16" s="203">
        <f t="shared" si="5"/>
        <v>1394005</v>
      </c>
      <c r="AA16" s="203">
        <f t="shared" si="5"/>
        <v>953790</v>
      </c>
    </row>
    <row r="17" spans="1:27" s="162" customFormat="1" x14ac:dyDescent="0.35">
      <c r="A17" s="163" t="s">
        <v>629</v>
      </c>
      <c r="B17" s="204"/>
      <c r="C17" s="205"/>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row>
    <row r="18" spans="1:27" s="164" customFormat="1" x14ac:dyDescent="0.35">
      <c r="A18" s="175" t="s">
        <v>630</v>
      </c>
      <c r="B18" s="206">
        <f t="shared" ref="B18:AA18" si="8">B11*0.05</f>
        <v>1433.3333333333335</v>
      </c>
      <c r="C18" s="206">
        <f t="shared" si="8"/>
        <v>11328.589285714286</v>
      </c>
      <c r="D18" s="206">
        <f t="shared" si="8"/>
        <v>105580.35714285714</v>
      </c>
      <c r="E18" s="206">
        <f t="shared" si="8"/>
        <v>18333.333333333336</v>
      </c>
      <c r="F18" s="206">
        <f t="shared" ref="F18" si="9">F11*0.05</f>
        <v>2333.3333333333335</v>
      </c>
      <c r="G18" s="206">
        <f t="shared" si="8"/>
        <v>12945</v>
      </c>
      <c r="H18" s="206">
        <f t="shared" si="8"/>
        <v>36500</v>
      </c>
      <c r="I18" s="206">
        <f t="shared" si="8"/>
        <v>57000</v>
      </c>
      <c r="J18" s="206">
        <f t="shared" ref="J18" si="10">J11*0.05</f>
        <v>18250</v>
      </c>
      <c r="K18" s="206">
        <f t="shared" si="8"/>
        <v>5368.375</v>
      </c>
      <c r="L18" s="206">
        <f t="shared" si="8"/>
        <v>563782.86190476199</v>
      </c>
      <c r="M18" s="206">
        <f t="shared" si="8"/>
        <v>264243.54166666669</v>
      </c>
      <c r="N18" s="206">
        <f t="shared" si="8"/>
        <v>127830</v>
      </c>
      <c r="O18" s="206">
        <f t="shared" si="8"/>
        <v>137872.85714285713</v>
      </c>
      <c r="P18" s="206">
        <f t="shared" si="8"/>
        <v>14915</v>
      </c>
      <c r="Q18" s="206">
        <f t="shared" si="8"/>
        <v>0</v>
      </c>
      <c r="R18" s="206">
        <f t="shared" si="8"/>
        <v>53375</v>
      </c>
      <c r="S18" s="206">
        <f t="shared" si="8"/>
        <v>42032.5</v>
      </c>
      <c r="T18" s="206">
        <f t="shared" si="8"/>
        <v>24714.285714285717</v>
      </c>
      <c r="U18" s="206">
        <f t="shared" si="8"/>
        <v>58620.761904761908</v>
      </c>
      <c r="V18" s="206">
        <f t="shared" si="8"/>
        <v>89599</v>
      </c>
      <c r="W18" s="206">
        <f t="shared" si="8"/>
        <v>21697.321428571431</v>
      </c>
      <c r="X18" s="206">
        <f t="shared" si="8"/>
        <v>11698.571428571429</v>
      </c>
      <c r="Y18" s="206">
        <f t="shared" si="8"/>
        <v>11772.714285714286</v>
      </c>
      <c r="Z18" s="206">
        <f t="shared" si="8"/>
        <v>908.54166666666686</v>
      </c>
      <c r="AA18" s="206">
        <f t="shared" si="8"/>
        <v>18641.25</v>
      </c>
    </row>
    <row r="19" spans="1:27" s="165" customFormat="1" x14ac:dyDescent="0.35">
      <c r="A19" s="176" t="s">
        <v>631</v>
      </c>
      <c r="B19" s="207">
        <f t="shared" ref="B19:AA19" si="11">B12*0.05</f>
        <v>5400</v>
      </c>
      <c r="C19" s="207">
        <f t="shared" si="11"/>
        <v>15192.5</v>
      </c>
      <c r="D19" s="207">
        <f t="shared" si="11"/>
        <v>36741.476190476191</v>
      </c>
      <c r="E19" s="207">
        <f t="shared" si="11"/>
        <v>15395</v>
      </c>
      <c r="F19" s="207">
        <f t="shared" ref="F19" si="12">F12*0.05</f>
        <v>3500</v>
      </c>
      <c r="G19" s="207">
        <f t="shared" si="11"/>
        <v>8375</v>
      </c>
      <c r="H19" s="207">
        <f t="shared" si="11"/>
        <v>5462.25</v>
      </c>
      <c r="I19" s="207">
        <f t="shared" si="11"/>
        <v>15900</v>
      </c>
      <c r="J19" s="207">
        <f t="shared" ref="J19" si="13">J12*0.05</f>
        <v>33513.75</v>
      </c>
      <c r="K19" s="207">
        <f t="shared" si="11"/>
        <v>48675</v>
      </c>
      <c r="L19" s="207">
        <f t="shared" si="11"/>
        <v>300771.47619047621</v>
      </c>
      <c r="M19" s="207">
        <f t="shared" si="11"/>
        <v>152715</v>
      </c>
      <c r="N19" s="207">
        <f t="shared" si="11"/>
        <v>681390</v>
      </c>
      <c r="O19" s="207">
        <f t="shared" si="11"/>
        <v>52400</v>
      </c>
      <c r="P19" s="207">
        <f t="shared" si="11"/>
        <v>10777.5</v>
      </c>
      <c r="Q19" s="207">
        <f t="shared" si="11"/>
        <v>0</v>
      </c>
      <c r="R19" s="207">
        <f t="shared" si="11"/>
        <v>21545</v>
      </c>
      <c r="S19" s="207">
        <f t="shared" si="11"/>
        <v>9830</v>
      </c>
      <c r="T19" s="207">
        <f t="shared" si="11"/>
        <v>16825</v>
      </c>
      <c r="U19" s="207">
        <f t="shared" si="11"/>
        <v>21625</v>
      </c>
      <c r="V19" s="207">
        <f t="shared" si="11"/>
        <v>83750</v>
      </c>
      <c r="W19" s="207">
        <f t="shared" si="11"/>
        <v>12855</v>
      </c>
      <c r="X19" s="207">
        <f t="shared" si="11"/>
        <v>10250</v>
      </c>
      <c r="Y19" s="207">
        <f t="shared" si="11"/>
        <v>35551.25</v>
      </c>
      <c r="Z19" s="207">
        <f t="shared" si="11"/>
        <v>57175</v>
      </c>
      <c r="AA19" s="207">
        <f t="shared" si="11"/>
        <v>21100</v>
      </c>
    </row>
    <row r="20" spans="1:27" s="164" customFormat="1" ht="29" x14ac:dyDescent="0.35">
      <c r="A20" s="173" t="s">
        <v>632</v>
      </c>
      <c r="B20" s="206">
        <f t="shared" ref="B20:AA20" si="14">B16*0.1</f>
        <v>16400</v>
      </c>
      <c r="C20" s="206">
        <f t="shared" si="14"/>
        <v>63650.614285714284</v>
      </c>
      <c r="D20" s="206">
        <f t="shared" si="14"/>
        <v>748132.39999999991</v>
      </c>
      <c r="E20" s="206">
        <f t="shared" si="14"/>
        <v>330428.00000000006</v>
      </c>
      <c r="F20" s="206">
        <f t="shared" ref="F20" si="15">F16*0.1</f>
        <v>14000</v>
      </c>
      <c r="G20" s="206">
        <f t="shared" si="14"/>
        <v>51168</v>
      </c>
      <c r="H20" s="206">
        <f t="shared" si="14"/>
        <v>100709.40000000001</v>
      </c>
      <c r="I20" s="206">
        <f t="shared" si="14"/>
        <v>174960</v>
      </c>
      <c r="J20" s="206">
        <f t="shared" ref="J20" si="16">J16*0.1</f>
        <v>124233</v>
      </c>
      <c r="K20" s="206">
        <f t="shared" si="14"/>
        <v>129704.1</v>
      </c>
      <c r="L20" s="206">
        <f t="shared" si="14"/>
        <v>2074930.4114285717</v>
      </c>
      <c r="M20" s="206">
        <f t="shared" si="14"/>
        <v>1000700.5</v>
      </c>
      <c r="N20" s="206">
        <f t="shared" si="14"/>
        <v>1942128</v>
      </c>
      <c r="O20" s="206">
        <f t="shared" si="14"/>
        <v>456654.8571428571</v>
      </c>
      <c r="P20" s="206">
        <f t="shared" si="14"/>
        <v>61662</v>
      </c>
      <c r="Q20" s="206">
        <f t="shared" si="14"/>
        <v>0</v>
      </c>
      <c r="R20" s="206">
        <f t="shared" si="14"/>
        <v>179808</v>
      </c>
      <c r="S20" s="206">
        <f t="shared" si="14"/>
        <v>124470</v>
      </c>
      <c r="T20" s="206">
        <f t="shared" si="14"/>
        <v>99694.285714285725</v>
      </c>
      <c r="U20" s="206">
        <f t="shared" si="14"/>
        <v>192589.82857142857</v>
      </c>
      <c r="V20" s="206">
        <f t="shared" si="14"/>
        <v>416037.60000000003</v>
      </c>
      <c r="W20" s="206">
        <f t="shared" si="14"/>
        <v>82925.571428571435</v>
      </c>
      <c r="X20" s="206">
        <f t="shared" si="14"/>
        <v>52676.571428571435</v>
      </c>
      <c r="Y20" s="206">
        <f t="shared" si="14"/>
        <v>113577.51428571428</v>
      </c>
      <c r="Z20" s="206">
        <f t="shared" si="14"/>
        <v>139400.5</v>
      </c>
      <c r="AA20" s="206">
        <f t="shared" si="14"/>
        <v>95379</v>
      </c>
    </row>
    <row r="21" spans="1:27" s="165" customFormat="1" x14ac:dyDescent="0.35">
      <c r="A21" s="176" t="s">
        <v>626</v>
      </c>
      <c r="B21" s="207">
        <f t="shared" ref="B21:AA21" si="17">SUM(B18:B20)</f>
        <v>23233.333333333336</v>
      </c>
      <c r="C21" s="207">
        <f t="shared" si="17"/>
        <v>90171.703571428574</v>
      </c>
      <c r="D21" s="207">
        <f t="shared" si="17"/>
        <v>890454.23333333328</v>
      </c>
      <c r="E21" s="207">
        <f t="shared" si="17"/>
        <v>364156.33333333337</v>
      </c>
      <c r="F21" s="207">
        <f t="shared" ref="F21" si="18">SUM(F18:F20)</f>
        <v>19833.333333333336</v>
      </c>
      <c r="G21" s="207">
        <f t="shared" si="17"/>
        <v>72488</v>
      </c>
      <c r="H21" s="207">
        <f t="shared" si="17"/>
        <v>142671.65000000002</v>
      </c>
      <c r="I21" s="207">
        <f t="shared" si="17"/>
        <v>247860</v>
      </c>
      <c r="J21" s="207">
        <f t="shared" ref="J21" si="19">SUM(J18:J20)</f>
        <v>175996.75</v>
      </c>
      <c r="K21" s="207">
        <f t="shared" si="17"/>
        <v>183747.47500000001</v>
      </c>
      <c r="L21" s="207">
        <f t="shared" si="17"/>
        <v>2939484.7495238101</v>
      </c>
      <c r="M21" s="207">
        <f t="shared" si="17"/>
        <v>1417659.0416666667</v>
      </c>
      <c r="N21" s="207">
        <f t="shared" si="17"/>
        <v>2751348</v>
      </c>
      <c r="O21" s="207">
        <f t="shared" si="17"/>
        <v>646927.7142857142</v>
      </c>
      <c r="P21" s="207">
        <f t="shared" si="17"/>
        <v>87354.5</v>
      </c>
      <c r="Q21" s="207">
        <f t="shared" si="17"/>
        <v>0</v>
      </c>
      <c r="R21" s="207">
        <f t="shared" si="17"/>
        <v>254728</v>
      </c>
      <c r="S21" s="207">
        <f t="shared" si="17"/>
        <v>176332.5</v>
      </c>
      <c r="T21" s="207">
        <f t="shared" si="17"/>
        <v>141233.57142857145</v>
      </c>
      <c r="U21" s="207">
        <f t="shared" si="17"/>
        <v>272835.5904761905</v>
      </c>
      <c r="V21" s="207">
        <f t="shared" si="17"/>
        <v>589386.60000000009</v>
      </c>
      <c r="W21" s="207">
        <f t="shared" si="17"/>
        <v>117477.89285714287</v>
      </c>
      <c r="X21" s="207">
        <f t="shared" si="17"/>
        <v>74625.14285714287</v>
      </c>
      <c r="Y21" s="207">
        <f t="shared" si="17"/>
        <v>160901.47857142857</v>
      </c>
      <c r="Z21" s="207">
        <f t="shared" si="17"/>
        <v>197484.04166666666</v>
      </c>
      <c r="AA21" s="207">
        <f t="shared" si="17"/>
        <v>135120.25</v>
      </c>
    </row>
    <row r="22" spans="1:27" s="164" customFormat="1" x14ac:dyDescent="0.35">
      <c r="A22" s="175" t="s">
        <v>627</v>
      </c>
      <c r="B22" s="206">
        <f t="shared" ref="B22:AA22" si="20">B21*0.2</f>
        <v>4646.666666666667</v>
      </c>
      <c r="C22" s="206">
        <f t="shared" si="20"/>
        <v>18034.340714285714</v>
      </c>
      <c r="D22" s="206">
        <f t="shared" si="20"/>
        <v>178090.84666666668</v>
      </c>
      <c r="E22" s="206">
        <f t="shared" si="20"/>
        <v>72831.266666666677</v>
      </c>
      <c r="F22" s="206">
        <f t="shared" ref="F22" si="21">F21*0.2</f>
        <v>3966.6666666666674</v>
      </c>
      <c r="G22" s="206">
        <f t="shared" si="20"/>
        <v>14497.6</v>
      </c>
      <c r="H22" s="206">
        <f t="shared" si="20"/>
        <v>28534.330000000005</v>
      </c>
      <c r="I22" s="206">
        <f t="shared" si="20"/>
        <v>49572</v>
      </c>
      <c r="J22" s="206">
        <f t="shared" ref="J22" si="22">J21*0.2</f>
        <v>35199.35</v>
      </c>
      <c r="K22" s="206">
        <f t="shared" si="20"/>
        <v>36749.495000000003</v>
      </c>
      <c r="L22" s="206">
        <f t="shared" si="20"/>
        <v>587896.94990476209</v>
      </c>
      <c r="M22" s="206">
        <f t="shared" si="20"/>
        <v>283531.80833333335</v>
      </c>
      <c r="N22" s="206">
        <f t="shared" si="20"/>
        <v>550269.6</v>
      </c>
      <c r="O22" s="206">
        <f t="shared" si="20"/>
        <v>129385.54285714285</v>
      </c>
      <c r="P22" s="206">
        <f t="shared" si="20"/>
        <v>17470.900000000001</v>
      </c>
      <c r="Q22" s="206">
        <f t="shared" si="20"/>
        <v>0</v>
      </c>
      <c r="R22" s="206">
        <f t="shared" si="20"/>
        <v>50945.600000000006</v>
      </c>
      <c r="S22" s="206">
        <f t="shared" si="20"/>
        <v>35266.5</v>
      </c>
      <c r="T22" s="206">
        <f t="shared" si="20"/>
        <v>28246.71428571429</v>
      </c>
      <c r="U22" s="206">
        <f t="shared" si="20"/>
        <v>54567.118095238104</v>
      </c>
      <c r="V22" s="206">
        <f t="shared" si="20"/>
        <v>117877.32000000002</v>
      </c>
      <c r="W22" s="206">
        <f t="shared" si="20"/>
        <v>23495.578571428574</v>
      </c>
      <c r="X22" s="206">
        <f t="shared" si="20"/>
        <v>14925.028571428575</v>
      </c>
      <c r="Y22" s="206">
        <f t="shared" si="20"/>
        <v>32180.295714285716</v>
      </c>
      <c r="Z22" s="206">
        <f t="shared" si="20"/>
        <v>39496.808333333334</v>
      </c>
      <c r="AA22" s="206">
        <f t="shared" si="20"/>
        <v>27024.050000000003</v>
      </c>
    </row>
    <row r="23" spans="1:27" s="165" customFormat="1" ht="29" x14ac:dyDescent="0.35">
      <c r="A23" s="174" t="s">
        <v>633</v>
      </c>
      <c r="B23" s="207">
        <f t="shared" ref="B23:AA23" si="23">B21+B22</f>
        <v>27880.000000000004</v>
      </c>
      <c r="C23" s="207">
        <f t="shared" si="23"/>
        <v>108206.04428571429</v>
      </c>
      <c r="D23" s="207">
        <f t="shared" si="23"/>
        <v>1068545.08</v>
      </c>
      <c r="E23" s="207">
        <f t="shared" si="23"/>
        <v>436987.60000000003</v>
      </c>
      <c r="F23" s="207">
        <f t="shared" ref="F23" si="24">F21+F22</f>
        <v>23800.000000000004</v>
      </c>
      <c r="G23" s="207">
        <f t="shared" si="23"/>
        <v>86985.600000000006</v>
      </c>
      <c r="H23" s="207">
        <f t="shared" si="23"/>
        <v>171205.98000000004</v>
      </c>
      <c r="I23" s="207">
        <f t="shared" si="23"/>
        <v>297432</v>
      </c>
      <c r="J23" s="207">
        <f t="shared" ref="J23" si="25">J21+J22</f>
        <v>211196.1</v>
      </c>
      <c r="K23" s="207">
        <f t="shared" si="23"/>
        <v>220496.97</v>
      </c>
      <c r="L23" s="207">
        <f t="shared" si="23"/>
        <v>3527381.6994285723</v>
      </c>
      <c r="M23" s="207">
        <f t="shared" si="23"/>
        <v>1701190.85</v>
      </c>
      <c r="N23" s="207">
        <f t="shared" si="23"/>
        <v>3301617.6</v>
      </c>
      <c r="O23" s="207">
        <f t="shared" si="23"/>
        <v>776313.25714285707</v>
      </c>
      <c r="P23" s="207">
        <f t="shared" si="23"/>
        <v>104825.4</v>
      </c>
      <c r="Q23" s="207">
        <f t="shared" si="23"/>
        <v>0</v>
      </c>
      <c r="R23" s="207">
        <f t="shared" si="23"/>
        <v>305673.59999999998</v>
      </c>
      <c r="S23" s="207">
        <f t="shared" si="23"/>
        <v>211599</v>
      </c>
      <c r="T23" s="207">
        <f t="shared" si="23"/>
        <v>169480.28571428574</v>
      </c>
      <c r="U23" s="207">
        <f t="shared" si="23"/>
        <v>327402.70857142861</v>
      </c>
      <c r="V23" s="207">
        <f t="shared" si="23"/>
        <v>707263.92000000016</v>
      </c>
      <c r="W23" s="207">
        <f t="shared" si="23"/>
        <v>140973.47142857144</v>
      </c>
      <c r="X23" s="207">
        <f t="shared" si="23"/>
        <v>89550.171428571441</v>
      </c>
      <c r="Y23" s="207">
        <f t="shared" si="23"/>
        <v>193081.77428571429</v>
      </c>
      <c r="Z23" s="207">
        <f t="shared" si="23"/>
        <v>236980.84999999998</v>
      </c>
      <c r="AA23" s="207">
        <f t="shared" si="23"/>
        <v>162144.29999999999</v>
      </c>
    </row>
    <row r="24" spans="1:27" s="162" customFormat="1" x14ac:dyDescent="0.35">
      <c r="A24" s="161" t="s">
        <v>634</v>
      </c>
      <c r="B24" s="198">
        <f t="shared" ref="B24:AA24" si="26">B16+B23</f>
        <v>191880</v>
      </c>
      <c r="C24" s="198">
        <f t="shared" si="26"/>
        <v>744712.18714285712</v>
      </c>
      <c r="D24" s="198">
        <f t="shared" si="26"/>
        <v>8549869.0799999982</v>
      </c>
      <c r="E24" s="198">
        <f t="shared" si="26"/>
        <v>3741267.6000000006</v>
      </c>
      <c r="F24" s="198">
        <f t="shared" ref="F24" si="27">F16+F23</f>
        <v>163800</v>
      </c>
      <c r="G24" s="198">
        <f t="shared" si="26"/>
        <v>598665.6</v>
      </c>
      <c r="H24" s="198">
        <f t="shared" si="26"/>
        <v>1178299.98</v>
      </c>
      <c r="I24" s="198">
        <f t="shared" si="26"/>
        <v>2047032</v>
      </c>
      <c r="J24" s="198">
        <f t="shared" ref="J24" si="28">J16+J23</f>
        <v>1453526.1</v>
      </c>
      <c r="K24" s="198">
        <f t="shared" si="26"/>
        <v>1517537.97</v>
      </c>
      <c r="L24" s="198">
        <f t="shared" si="26"/>
        <v>24276685.813714288</v>
      </c>
      <c r="M24" s="198">
        <f t="shared" si="26"/>
        <v>11708195.85</v>
      </c>
      <c r="N24" s="198">
        <f t="shared" si="26"/>
        <v>22722897.600000001</v>
      </c>
      <c r="O24" s="198">
        <f t="shared" si="26"/>
        <v>5342861.8285714276</v>
      </c>
      <c r="P24" s="198">
        <f t="shared" si="26"/>
        <v>721445.4</v>
      </c>
      <c r="Q24" s="198">
        <f t="shared" si="26"/>
        <v>0</v>
      </c>
      <c r="R24" s="198">
        <f t="shared" si="26"/>
        <v>2103753.6</v>
      </c>
      <c r="S24" s="198">
        <f t="shared" si="26"/>
        <v>1456299</v>
      </c>
      <c r="T24" s="198">
        <f t="shared" si="26"/>
        <v>1166423.142857143</v>
      </c>
      <c r="U24" s="198">
        <f t="shared" si="26"/>
        <v>2253300.9942857143</v>
      </c>
      <c r="V24" s="198">
        <f t="shared" si="26"/>
        <v>4867639.92</v>
      </c>
      <c r="W24" s="198">
        <f t="shared" si="26"/>
        <v>970229.18571428582</v>
      </c>
      <c r="X24" s="198">
        <f t="shared" si="26"/>
        <v>616315.88571428577</v>
      </c>
      <c r="Y24" s="198">
        <f t="shared" si="26"/>
        <v>1328856.9171428571</v>
      </c>
      <c r="Z24" s="198">
        <f t="shared" si="26"/>
        <v>1630985.85</v>
      </c>
      <c r="AA24" s="198">
        <f t="shared" si="26"/>
        <v>1115934.3</v>
      </c>
    </row>
    <row r="25" spans="1:27" s="164" customFormat="1" ht="29" x14ac:dyDescent="0.35">
      <c r="A25" s="173" t="s">
        <v>635</v>
      </c>
      <c r="B25" s="199">
        <f t="shared" ref="B25:AA25" si="29">B24*0.15</f>
        <v>28782</v>
      </c>
      <c r="C25" s="199">
        <f t="shared" si="29"/>
        <v>111706.82807142856</v>
      </c>
      <c r="D25" s="199">
        <f t="shared" si="29"/>
        <v>1282480.3619999997</v>
      </c>
      <c r="E25" s="199">
        <f t="shared" si="29"/>
        <v>561190.14</v>
      </c>
      <c r="F25" s="199">
        <f t="shared" ref="F25" si="30">F24*0.15</f>
        <v>24570</v>
      </c>
      <c r="G25" s="199">
        <f t="shared" si="29"/>
        <v>89799.84</v>
      </c>
      <c r="H25" s="199">
        <f t="shared" si="29"/>
        <v>176744.997</v>
      </c>
      <c r="I25" s="199">
        <f t="shared" si="29"/>
        <v>307054.8</v>
      </c>
      <c r="J25" s="199">
        <f t="shared" si="29"/>
        <v>218028.91500000001</v>
      </c>
      <c r="K25" s="199">
        <f t="shared" si="29"/>
        <v>227630.6955</v>
      </c>
      <c r="L25" s="199">
        <f t="shared" si="29"/>
        <v>3641502.8720571431</v>
      </c>
      <c r="M25" s="199">
        <f t="shared" si="29"/>
        <v>1756229.3774999999</v>
      </c>
      <c r="N25" s="199">
        <f t="shared" si="29"/>
        <v>3408434.64</v>
      </c>
      <c r="O25" s="199">
        <f t="shared" si="29"/>
        <v>801429.27428571414</v>
      </c>
      <c r="P25" s="199">
        <f t="shared" si="29"/>
        <v>108216.81</v>
      </c>
      <c r="Q25" s="199">
        <f t="shared" si="29"/>
        <v>0</v>
      </c>
      <c r="R25" s="199">
        <f t="shared" si="29"/>
        <v>315563.03999999998</v>
      </c>
      <c r="S25" s="199">
        <f t="shared" si="29"/>
        <v>218444.85</v>
      </c>
      <c r="T25" s="199">
        <f t="shared" si="29"/>
        <v>174963.47142857144</v>
      </c>
      <c r="U25" s="199">
        <f t="shared" si="29"/>
        <v>337995.14914285712</v>
      </c>
      <c r="V25" s="199">
        <f t="shared" si="29"/>
        <v>730145.98800000001</v>
      </c>
      <c r="W25" s="199">
        <f t="shared" si="29"/>
        <v>145534.37785714286</v>
      </c>
      <c r="X25" s="199">
        <f t="shared" si="29"/>
        <v>92447.38285714286</v>
      </c>
      <c r="Y25" s="199">
        <f t="shared" si="29"/>
        <v>199328.53757142855</v>
      </c>
      <c r="Z25" s="199">
        <f t="shared" si="29"/>
        <v>244647.8775</v>
      </c>
      <c r="AA25" s="199">
        <f t="shared" si="29"/>
        <v>167390.14499999999</v>
      </c>
    </row>
    <row r="26" spans="1:27" s="162" customFormat="1" x14ac:dyDescent="0.35">
      <c r="A26" s="163" t="s">
        <v>636</v>
      </c>
      <c r="B26" s="215">
        <f t="shared" ref="B26:AA26" si="31">B24+B25</f>
        <v>220662</v>
      </c>
      <c r="C26" s="215">
        <f t="shared" si="31"/>
        <v>856419.0152142857</v>
      </c>
      <c r="D26" s="215">
        <f t="shared" si="31"/>
        <v>9832349.4419999979</v>
      </c>
      <c r="E26" s="215">
        <f t="shared" si="31"/>
        <v>4302457.74</v>
      </c>
      <c r="F26" s="200">
        <f t="shared" si="31"/>
        <v>188370</v>
      </c>
      <c r="G26" s="215">
        <f t="shared" si="31"/>
        <v>688465.44</v>
      </c>
      <c r="H26" s="200">
        <f t="shared" si="31"/>
        <v>1355044.977</v>
      </c>
      <c r="I26" s="215">
        <f t="shared" si="31"/>
        <v>2354086.7999999998</v>
      </c>
      <c r="J26" s="200">
        <f t="shared" si="31"/>
        <v>1671555.0150000001</v>
      </c>
      <c r="K26" s="215">
        <f t="shared" si="31"/>
        <v>1745168.6654999999</v>
      </c>
      <c r="L26" s="215">
        <f t="shared" si="31"/>
        <v>27918188.685771432</v>
      </c>
      <c r="M26" s="200">
        <f t="shared" si="31"/>
        <v>13464425.227499999</v>
      </c>
      <c r="N26" s="200">
        <f t="shared" si="31"/>
        <v>26131332.240000002</v>
      </c>
      <c r="O26" s="215">
        <f t="shared" si="31"/>
        <v>6144291.1028571418</v>
      </c>
      <c r="P26" s="200">
        <f t="shared" si="31"/>
        <v>829662.21</v>
      </c>
      <c r="Q26" s="200">
        <f t="shared" si="31"/>
        <v>0</v>
      </c>
      <c r="R26" s="215">
        <f t="shared" si="31"/>
        <v>2419316.64</v>
      </c>
      <c r="S26" s="200">
        <f t="shared" si="31"/>
        <v>1674743.85</v>
      </c>
      <c r="T26" s="200">
        <f t="shared" si="31"/>
        <v>1341386.6142857145</v>
      </c>
      <c r="U26" s="200">
        <f t="shared" si="31"/>
        <v>2591296.1434285715</v>
      </c>
      <c r="V26" s="215">
        <f t="shared" si="31"/>
        <v>5597785.9079999998</v>
      </c>
      <c r="W26" s="215">
        <f t="shared" si="31"/>
        <v>1115763.5635714286</v>
      </c>
      <c r="X26" s="215">
        <f t="shared" si="31"/>
        <v>708763.26857142861</v>
      </c>
      <c r="Y26" s="200">
        <f t="shared" si="31"/>
        <v>1528185.4547142857</v>
      </c>
      <c r="Z26" s="215">
        <f t="shared" si="31"/>
        <v>1875633.7275</v>
      </c>
      <c r="AA26" s="215">
        <f t="shared" si="31"/>
        <v>1283324.4450000001</v>
      </c>
    </row>
    <row r="27" spans="1:27" s="162" customFormat="1" ht="15" hidden="1" customHeight="1" x14ac:dyDescent="0.35">
      <c r="A27" s="161"/>
      <c r="B27" s="198"/>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row>
    <row r="28" spans="1:27" s="162" customFormat="1" ht="15" hidden="1" customHeight="1" x14ac:dyDescent="0.35">
      <c r="A28" s="161" t="s">
        <v>637</v>
      </c>
      <c r="B28" s="198">
        <f t="shared" ref="B28:AA28" si="32">B26/B10</f>
        <v>441.32400000000001</v>
      </c>
      <c r="C28" s="198">
        <f t="shared" si="32"/>
        <v>658.78385785714283</v>
      </c>
      <c r="D28" s="198">
        <f t="shared" si="32"/>
        <v>819.36245349999979</v>
      </c>
      <c r="E28" s="198">
        <f t="shared" si="32"/>
        <v>391.13252181818183</v>
      </c>
      <c r="F28" s="198">
        <f t="shared" si="32"/>
        <v>134.55000000000001</v>
      </c>
      <c r="G28" s="198">
        <f t="shared" si="32"/>
        <v>917.95391999999993</v>
      </c>
      <c r="H28" s="198">
        <f t="shared" si="32"/>
        <v>571.74893544303791</v>
      </c>
      <c r="I28" s="198">
        <f t="shared" si="32"/>
        <v>735.65212499999996</v>
      </c>
      <c r="J28" s="198"/>
      <c r="K28" s="198">
        <f t="shared" si="32"/>
        <v>5288.3898954545448</v>
      </c>
      <c r="L28" s="198">
        <f t="shared" si="32"/>
        <v>503.4840159742368</v>
      </c>
      <c r="M28" s="198">
        <f t="shared" si="32"/>
        <v>438.29509204101561</v>
      </c>
      <c r="N28" s="198">
        <f t="shared" si="32"/>
        <v>2959.3807746319367</v>
      </c>
      <c r="O28" s="198">
        <f t="shared" si="32"/>
        <v>357.22622691029892</v>
      </c>
      <c r="P28" s="198">
        <f t="shared" si="32"/>
        <v>48.236174999999996</v>
      </c>
      <c r="Q28" s="198" t="e">
        <f t="shared" si="32"/>
        <v>#DIV/0!</v>
      </c>
      <c r="R28" s="198">
        <f t="shared" si="32"/>
        <v>896.04320000000007</v>
      </c>
      <c r="S28" s="198">
        <f t="shared" si="32"/>
        <v>558.24795000000006</v>
      </c>
      <c r="T28" s="198">
        <f t="shared" si="32"/>
        <v>419.18331696428578</v>
      </c>
      <c r="U28" s="198">
        <f t="shared" si="32"/>
        <v>1408.3131214285715</v>
      </c>
      <c r="V28" s="198">
        <f t="shared" si="32"/>
        <v>1749.3080962499998</v>
      </c>
      <c r="W28" s="198">
        <f t="shared" si="32"/>
        <v>474.79300577507604</v>
      </c>
      <c r="X28" s="198">
        <f t="shared" si="32"/>
        <v>2025.0379102040818</v>
      </c>
      <c r="Y28" s="198">
        <f t="shared" si="32"/>
        <v>1543.6216714285713</v>
      </c>
      <c r="Z28" s="198">
        <f t="shared" si="32"/>
        <v>4168.0749500000002</v>
      </c>
      <c r="AA28" s="198">
        <f t="shared" si="32"/>
        <v>611.10687857142864</v>
      </c>
    </row>
    <row r="29" spans="1:27" s="185" customFormat="1" x14ac:dyDescent="0.35">
      <c r="A29" s="184" t="s">
        <v>638</v>
      </c>
      <c r="B29" s="201">
        <f>'O&amp;M'!D66</f>
        <v>19840</v>
      </c>
      <c r="C29" s="201">
        <f>'O&amp;M'!D75</f>
        <v>60880</v>
      </c>
      <c r="D29" s="201">
        <f>'O&amp;M'!D21+'O&amp;M'!D29</f>
        <v>251020</v>
      </c>
      <c r="E29" s="201">
        <f>'O&amp;M'!D14+'O&amp;M'!D36</f>
        <v>123200</v>
      </c>
      <c r="F29" s="201">
        <f>'O&amp;M'!D84</f>
        <v>28730</v>
      </c>
      <c r="G29" s="201">
        <f>'O&amp;M'!D138</f>
        <v>24240</v>
      </c>
      <c r="H29" s="201">
        <f>'O&amp;M'!D148</f>
        <v>34160</v>
      </c>
      <c r="I29" s="201">
        <f>'O&amp;M'!D159</f>
        <v>85590</v>
      </c>
      <c r="J29" s="201">
        <f>'O&amp;M'!D168</f>
        <v>51280</v>
      </c>
      <c r="K29" s="201">
        <f>'O&amp;M'!D176</f>
        <v>82208</v>
      </c>
      <c r="L29" s="201">
        <f>'O&amp;M'!D44</f>
        <v>623800.44000000006</v>
      </c>
      <c r="M29" s="202">
        <f>'O&amp;M'!D60</f>
        <v>404592</v>
      </c>
      <c r="N29" s="201">
        <f>'O&amp;M'!D52</f>
        <v>345360</v>
      </c>
      <c r="O29" s="201">
        <f>'O&amp;M'!D94</f>
        <v>51120</v>
      </c>
      <c r="P29" s="201">
        <f>'O&amp;M'!D100</f>
        <v>35448</v>
      </c>
      <c r="Q29" s="201"/>
      <c r="R29" s="201">
        <f>'O&amp;M'!D129</f>
        <v>58240</v>
      </c>
      <c r="S29" s="201">
        <f>'O&amp;M'!D119</f>
        <v>24560</v>
      </c>
      <c r="T29" s="201">
        <f>'O&amp;M'!D109</f>
        <v>29360</v>
      </c>
      <c r="U29" s="201">
        <f>'O&amp;M'!D186</f>
        <v>96880</v>
      </c>
      <c r="V29" s="201">
        <f>'O&amp;M'!D196</f>
        <v>132160</v>
      </c>
      <c r="W29" s="201">
        <f>'O&amp;M'!D206</f>
        <v>33360</v>
      </c>
      <c r="X29" s="201">
        <f>'O&amp;M'!D216</f>
        <v>31760</v>
      </c>
      <c r="Y29" s="201">
        <f>'O&amp;M'!D227</f>
        <v>52240</v>
      </c>
      <c r="Z29" s="201">
        <f>'O&amp;M'!D244</f>
        <v>40680</v>
      </c>
      <c r="AA29" s="201">
        <f>'O&amp;M'!D254</f>
        <v>42930</v>
      </c>
    </row>
    <row r="31" spans="1:27" ht="15.75" hidden="1" customHeight="1" thickBot="1" x14ac:dyDescent="0.4">
      <c r="A31" s="1" t="s">
        <v>639</v>
      </c>
      <c r="B31" s="84">
        <f t="shared" ref="B31:B36" si="33">SUM(B21:AA21)</f>
        <v>12173511.885238096</v>
      </c>
    </row>
    <row r="32" spans="1:27" ht="15.75" hidden="1" customHeight="1" thickTop="1" thickBot="1" x14ac:dyDescent="0.4">
      <c r="A32" s="1" t="s">
        <v>640</v>
      </c>
      <c r="B32" s="84">
        <f t="shared" si="33"/>
        <v>2434702.3770476189</v>
      </c>
    </row>
    <row r="33" spans="1:27" ht="15.75" hidden="1" customHeight="1" thickTop="1" thickBot="1" x14ac:dyDescent="0.4">
      <c r="B33" s="182">
        <f t="shared" si="33"/>
        <v>14608214.262285715</v>
      </c>
    </row>
    <row r="34" spans="1:27" ht="15.75" hidden="1" customHeight="1" thickTop="1" thickBot="1" x14ac:dyDescent="0.4">
      <c r="A34" s="1" t="s">
        <v>641</v>
      </c>
      <c r="B34" s="84">
        <f t="shared" si="33"/>
        <v>102468415.80514286</v>
      </c>
    </row>
    <row r="35" spans="1:27" ht="15.75" hidden="1" customHeight="1" thickTop="1" thickBot="1" x14ac:dyDescent="0.4">
      <c r="B35" s="84">
        <f t="shared" si="33"/>
        <v>15370262.370771427</v>
      </c>
    </row>
    <row r="36" spans="1:27" ht="15.75" hidden="1" customHeight="1" thickTop="1" thickBot="1" x14ac:dyDescent="0.4">
      <c r="A36" s="83" t="s">
        <v>642</v>
      </c>
      <c r="B36" s="84">
        <f t="shared" si="33"/>
        <v>117838678.17591424</v>
      </c>
    </row>
    <row r="37" spans="1:27" ht="15" hidden="1" customHeight="1" thickTop="1" x14ac:dyDescent="0.35"/>
    <row r="38" spans="1:27" ht="15" hidden="1" customHeight="1" x14ac:dyDescent="0.35">
      <c r="A38" s="1" t="s">
        <v>643</v>
      </c>
      <c r="B38" s="157">
        <f>SUM(B10:AA10)</f>
        <v>182930</v>
      </c>
    </row>
    <row r="39" spans="1:27" ht="15" hidden="1" customHeight="1" x14ac:dyDescent="0.35">
      <c r="B39" s="89">
        <f>SUM(B18:AA18)</f>
        <v>1710776.5285714285</v>
      </c>
    </row>
    <row r="40" spans="1:27" ht="15" hidden="1" customHeight="1" x14ac:dyDescent="0.35">
      <c r="B40" s="89">
        <f>SUM(B19:AA19)</f>
        <v>1676715.2023809524</v>
      </c>
    </row>
    <row r="41" spans="1:27" ht="15" hidden="1" customHeight="1" x14ac:dyDescent="0.35">
      <c r="B41" s="89">
        <f>SUM(B20:AA20)</f>
        <v>8786020.154285714</v>
      </c>
    </row>
    <row r="42" spans="1:27" ht="15" hidden="1" customHeight="1" x14ac:dyDescent="0.35">
      <c r="B42" s="89">
        <f>SUM(B39:B41)</f>
        <v>12173511.885238096</v>
      </c>
    </row>
    <row r="43" spans="1:27" ht="15" hidden="1" customHeight="1" x14ac:dyDescent="0.35">
      <c r="B43" s="89"/>
    </row>
    <row r="44" spans="1:27" ht="15.75" hidden="1" customHeight="1" thickBot="1" x14ac:dyDescent="0.4">
      <c r="A44" s="83" t="s">
        <v>644</v>
      </c>
      <c r="B44" s="182">
        <f>SUM(B29:AA29)</f>
        <v>2763638.44</v>
      </c>
    </row>
    <row r="45" spans="1:27" ht="15" hidden="1" customHeight="1" thickTop="1" x14ac:dyDescent="0.35">
      <c r="A45" s="43"/>
      <c r="B45" s="159"/>
    </row>
    <row r="46" spans="1:27" x14ac:dyDescent="0.35">
      <c r="A46" s="232" t="s">
        <v>645</v>
      </c>
      <c r="B46" s="232"/>
      <c r="C46" s="232"/>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row>
    <row r="47" spans="1:27" x14ac:dyDescent="0.35">
      <c r="A47" s="177" t="s">
        <v>646</v>
      </c>
      <c r="B47" s="178" t="s">
        <v>647</v>
      </c>
      <c r="C47" s="179">
        <v>730675</v>
      </c>
      <c r="D47" s="179">
        <f>3728000+1231*D10</f>
        <v>18500000</v>
      </c>
      <c r="E47" s="179">
        <f>3728141/230*135</f>
        <v>2188256.6739130435</v>
      </c>
      <c r="F47" s="179"/>
      <c r="G47" s="179">
        <f>G10*1232</f>
        <v>924000</v>
      </c>
      <c r="H47" s="179">
        <f>H10*1232</f>
        <v>2919840</v>
      </c>
      <c r="I47" s="179">
        <f>3819849</f>
        <v>3819849</v>
      </c>
      <c r="J47" s="179"/>
      <c r="K47" s="179">
        <v>2834914</v>
      </c>
      <c r="L47" s="180">
        <f>L10*1328.84</f>
        <v>73684178</v>
      </c>
      <c r="M47" s="181">
        <f>M10*1628.84</f>
        <v>50037964.799999997</v>
      </c>
      <c r="N47" s="179">
        <f>1328*N10</f>
        <v>11726240</v>
      </c>
      <c r="O47" s="180">
        <v>15892516</v>
      </c>
      <c r="P47" s="178" t="s">
        <v>647</v>
      </c>
      <c r="Q47" s="178"/>
      <c r="R47" s="180">
        <f>R10*1232.09</f>
        <v>3326643</v>
      </c>
      <c r="S47" s="180">
        <f>S10*1232.09</f>
        <v>3696269.9999999995</v>
      </c>
      <c r="T47" s="178" t="s">
        <v>647</v>
      </c>
      <c r="U47" s="178" t="s">
        <v>647</v>
      </c>
      <c r="V47" s="178" t="s">
        <v>647</v>
      </c>
      <c r="W47" s="179">
        <f>W10*1260.76</f>
        <v>2962786</v>
      </c>
      <c r="X47" s="179">
        <v>1878580</v>
      </c>
      <c r="Y47" s="178" t="s">
        <v>647</v>
      </c>
      <c r="Z47" s="179">
        <v>1134712</v>
      </c>
      <c r="AA47" s="179">
        <f>AA10*1066.91</f>
        <v>2240511</v>
      </c>
    </row>
    <row r="48" spans="1:27" x14ac:dyDescent="0.35">
      <c r="A48" s="119" t="s">
        <v>648</v>
      </c>
      <c r="B48" s="178" t="s">
        <v>1266</v>
      </c>
      <c r="C48" s="178" t="s">
        <v>649</v>
      </c>
      <c r="D48" s="218" t="s">
        <v>1267</v>
      </c>
      <c r="E48" s="178" t="s">
        <v>650</v>
      </c>
      <c r="F48" s="178"/>
      <c r="G48" s="178" t="s">
        <v>651</v>
      </c>
      <c r="H48" s="216" t="s">
        <v>1265</v>
      </c>
      <c r="I48" s="178" t="s">
        <v>652</v>
      </c>
      <c r="J48" s="178"/>
      <c r="K48" s="178" t="s">
        <v>653</v>
      </c>
      <c r="L48" s="178" t="s">
        <v>654</v>
      </c>
      <c r="M48" s="217" t="s">
        <v>1268</v>
      </c>
      <c r="N48" s="178" t="s">
        <v>647</v>
      </c>
      <c r="O48" s="178" t="s">
        <v>655</v>
      </c>
      <c r="P48" s="178" t="s">
        <v>647</v>
      </c>
      <c r="Q48" s="178"/>
      <c r="R48" s="218" t="s">
        <v>656</v>
      </c>
      <c r="S48" s="218" t="s">
        <v>656</v>
      </c>
      <c r="T48" s="178" t="s">
        <v>647</v>
      </c>
      <c r="U48" s="178" t="s">
        <v>647</v>
      </c>
      <c r="V48" s="178" t="s">
        <v>1269</v>
      </c>
      <c r="W48" s="178" t="s">
        <v>657</v>
      </c>
      <c r="X48" s="178" t="s">
        <v>658</v>
      </c>
      <c r="Y48" s="178" t="s">
        <v>647</v>
      </c>
      <c r="Z48" s="178" t="s">
        <v>659</v>
      </c>
      <c r="AA48" s="178" t="s">
        <v>660</v>
      </c>
    </row>
    <row r="49" spans="2:27" x14ac:dyDescent="0.35">
      <c r="G49" s="85">
        <v>2850</v>
      </c>
      <c r="H49" s="85">
        <v>2850</v>
      </c>
      <c r="I49" s="85">
        <v>3100</v>
      </c>
      <c r="K49" s="85">
        <v>2300</v>
      </c>
    </row>
    <row r="50" spans="2:27" x14ac:dyDescent="0.35">
      <c r="C50" s="160">
        <f t="shared" ref="C50:M50" si="34">C47-C26</f>
        <v>-125744.0152142857</v>
      </c>
      <c r="D50" s="160">
        <f t="shared" si="34"/>
        <v>8667650.5580000021</v>
      </c>
      <c r="E50" s="160">
        <f t="shared" si="34"/>
        <v>-2114201.0660869568</v>
      </c>
      <c r="F50" s="160"/>
      <c r="G50" s="160">
        <f t="shared" si="34"/>
        <v>235534.56000000006</v>
      </c>
      <c r="H50" s="160">
        <f t="shared" si="34"/>
        <v>1564795.023</v>
      </c>
      <c r="I50" s="160">
        <f t="shared" si="34"/>
        <v>1465762.2000000002</v>
      </c>
      <c r="J50" s="160"/>
      <c r="K50" s="160">
        <f t="shared" si="34"/>
        <v>1089745.3345000001</v>
      </c>
      <c r="L50" s="160">
        <f t="shared" si="34"/>
        <v>45765989.314228565</v>
      </c>
      <c r="M50" s="160">
        <f t="shared" si="34"/>
        <v>36573539.572499998</v>
      </c>
      <c r="N50" s="160" t="s">
        <v>68</v>
      </c>
      <c r="O50" s="160">
        <f>O47-O26</f>
        <v>9748224.8971428573</v>
      </c>
      <c r="P50" s="160" t="s">
        <v>68</v>
      </c>
      <c r="Q50" s="160">
        <f>Q47-Q26</f>
        <v>0</v>
      </c>
      <c r="R50" s="160">
        <f>R47-R26</f>
        <v>907326.35999999987</v>
      </c>
      <c r="S50" s="160">
        <f>S47-S26</f>
        <v>2021526.1499999994</v>
      </c>
      <c r="T50" s="160" t="s">
        <v>68</v>
      </c>
      <c r="U50" s="160" t="s">
        <v>68</v>
      </c>
      <c r="V50" s="160" t="s">
        <v>68</v>
      </c>
      <c r="W50" s="160">
        <f>W47-W26</f>
        <v>1847022.4364285714</v>
      </c>
      <c r="X50" s="160">
        <f>X47-X26</f>
        <v>1169816.7314285715</v>
      </c>
      <c r="Y50" s="160" t="s">
        <v>68</v>
      </c>
      <c r="Z50" s="160">
        <f>Z47-Z26</f>
        <v>-740921.72750000004</v>
      </c>
      <c r="AA50" s="160">
        <f>AA47-AA26</f>
        <v>957186.55499999993</v>
      </c>
    </row>
    <row r="51" spans="2:27" x14ac:dyDescent="0.35">
      <c r="G51" s="8"/>
      <c r="H51" s="8"/>
      <c r="I51" s="8"/>
      <c r="J51" s="8"/>
      <c r="K51" s="8"/>
      <c r="M51" s="8"/>
      <c r="N51" s="8"/>
      <c r="O51" s="8"/>
      <c r="P51" s="8"/>
      <c r="Q51" s="8"/>
      <c r="R51" s="8"/>
      <c r="S51" s="8"/>
      <c r="T51" s="8"/>
      <c r="U51" s="8"/>
      <c r="V51" s="8"/>
      <c r="W51" s="8"/>
      <c r="X51" s="8"/>
      <c r="Y51" s="8"/>
      <c r="Z51" s="8"/>
      <c r="AA51" s="8"/>
    </row>
    <row r="52" spans="2:27" ht="29" x14ac:dyDescent="0.35">
      <c r="B52" s="14">
        <f>SUM(B47:AA47)</f>
        <v>198497935.47391304</v>
      </c>
      <c r="D52" s="8" t="s">
        <v>68</v>
      </c>
      <c r="E52" s="8" t="s">
        <v>661</v>
      </c>
    </row>
  </sheetData>
  <sheetProtection algorithmName="SHA-512" hashValue="fQA/InbXYyLBPxYFep1eSCQFusmIW/vh6jRr5hU1iqDcG6vaeq0oL8LiHXrZpEsPm2z18XIkjhSANoKLhmOYdA==" saltValue="M795QD8EtyeHXclBjy9kZw==" spinCount="100000" sheet="1" objects="1" scenarios="1"/>
  <mergeCells count="2">
    <mergeCell ref="L7:N7"/>
    <mergeCell ref="A46:AA46"/>
  </mergeCells>
  <printOptions gridLines="1"/>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67BF4-F15C-4EBB-807D-6D0B159839F3}">
  <dimension ref="A1:H140"/>
  <sheetViews>
    <sheetView workbookViewId="0">
      <selection activeCell="C24" sqref="C24"/>
    </sheetView>
  </sheetViews>
  <sheetFormatPr defaultRowHeight="14.5" x14ac:dyDescent="0.35"/>
  <cols>
    <col min="1" max="1" width="30.26953125" customWidth="1"/>
    <col min="2" max="2" width="5.453125" style="2" bestFit="1" customWidth="1"/>
    <col min="3" max="3" width="12.54296875" style="78" bestFit="1" customWidth="1"/>
    <col min="4" max="4" width="94.54296875" bestFit="1" customWidth="1"/>
    <col min="5" max="5" width="11.54296875" bestFit="1" customWidth="1"/>
    <col min="8" max="8" width="11.54296875" style="78" bestFit="1" customWidth="1"/>
    <col min="9" max="9" width="32.7265625" customWidth="1"/>
  </cols>
  <sheetData>
    <row r="1" spans="1:5" x14ac:dyDescent="0.35">
      <c r="A1" s="77" t="s">
        <v>662</v>
      </c>
      <c r="B1" s="42"/>
    </row>
    <row r="3" spans="1:5" x14ac:dyDescent="0.35">
      <c r="A3" s="77" t="s">
        <v>663</v>
      </c>
      <c r="B3" s="42"/>
    </row>
    <row r="5" spans="1:5" x14ac:dyDescent="0.35">
      <c r="A5" s="77" t="s">
        <v>664</v>
      </c>
      <c r="B5" s="42" t="s">
        <v>665</v>
      </c>
    </row>
    <row r="6" spans="1:5" x14ac:dyDescent="0.35">
      <c r="A6" t="s">
        <v>666</v>
      </c>
      <c r="C6" s="78">
        <f>2500/75</f>
        <v>33.333333333333336</v>
      </c>
      <c r="D6" t="s">
        <v>667</v>
      </c>
    </row>
    <row r="7" spans="1:5" x14ac:dyDescent="0.35">
      <c r="A7" t="s">
        <v>668</v>
      </c>
      <c r="C7" s="78">
        <f>2500/35</f>
        <v>71.428571428571431</v>
      </c>
      <c r="D7" t="s">
        <v>669</v>
      </c>
    </row>
    <row r="8" spans="1:5" x14ac:dyDescent="0.35">
      <c r="A8" t="s">
        <v>670</v>
      </c>
      <c r="C8" s="78">
        <f>2500/10</f>
        <v>250</v>
      </c>
      <c r="D8" t="s">
        <v>671</v>
      </c>
    </row>
    <row r="9" spans="1:5" x14ac:dyDescent="0.35">
      <c r="A9" t="s">
        <v>672</v>
      </c>
      <c r="C9" s="78">
        <f>2500/5</f>
        <v>500</v>
      </c>
      <c r="D9" t="s">
        <v>673</v>
      </c>
    </row>
    <row r="10" spans="1:5" x14ac:dyDescent="0.35">
      <c r="A10" t="s">
        <v>674</v>
      </c>
      <c r="C10" s="78">
        <v>15</v>
      </c>
      <c r="D10" t="s">
        <v>675</v>
      </c>
    </row>
    <row r="12" spans="1:5" x14ac:dyDescent="0.35">
      <c r="A12" s="77" t="s">
        <v>676</v>
      </c>
      <c r="B12" s="42"/>
    </row>
    <row r="13" spans="1:5" x14ac:dyDescent="0.35">
      <c r="A13" t="s">
        <v>677</v>
      </c>
      <c r="B13" s="2" t="s">
        <v>678</v>
      </c>
      <c r="C13" s="78">
        <v>35</v>
      </c>
      <c r="D13" t="s">
        <v>679</v>
      </c>
    </row>
    <row r="14" spans="1:5" x14ac:dyDescent="0.35">
      <c r="A14" t="s">
        <v>680</v>
      </c>
      <c r="B14" s="2" t="s">
        <v>678</v>
      </c>
      <c r="C14" s="78">
        <v>85</v>
      </c>
      <c r="D14" t="s">
        <v>681</v>
      </c>
    </row>
    <row r="15" spans="1:5" x14ac:dyDescent="0.35">
      <c r="A15" t="s">
        <v>682</v>
      </c>
      <c r="B15" s="2" t="s">
        <v>678</v>
      </c>
      <c r="C15" s="78">
        <f>E15</f>
        <v>120</v>
      </c>
      <c r="D15" t="s">
        <v>683</v>
      </c>
      <c r="E15" s="78">
        <f>3600/60*1*2</f>
        <v>120</v>
      </c>
    </row>
    <row r="16" spans="1:5" x14ac:dyDescent="0.35">
      <c r="A16" t="s">
        <v>684</v>
      </c>
      <c r="B16" s="2" t="s">
        <v>678</v>
      </c>
      <c r="C16" s="78">
        <f>E16</f>
        <v>240</v>
      </c>
      <c r="D16" t="s">
        <v>685</v>
      </c>
      <c r="E16" s="78">
        <f>3600/60*2*2</f>
        <v>240</v>
      </c>
    </row>
    <row r="17" spans="1:5" x14ac:dyDescent="0.35">
      <c r="A17" t="s">
        <v>686</v>
      </c>
      <c r="B17" s="2" t="s">
        <v>678</v>
      </c>
      <c r="C17" s="78">
        <f>C16*2</f>
        <v>480</v>
      </c>
      <c r="D17" t="s">
        <v>687</v>
      </c>
      <c r="E17" s="78">
        <f>3600/60*4*2</f>
        <v>480</v>
      </c>
    </row>
    <row r="18" spans="1:5" x14ac:dyDescent="0.35">
      <c r="E18" s="78"/>
    </row>
    <row r="19" spans="1:5" x14ac:dyDescent="0.35">
      <c r="A19" s="77" t="s">
        <v>688</v>
      </c>
      <c r="E19" s="78"/>
    </row>
    <row r="20" spans="1:5" x14ac:dyDescent="0.35">
      <c r="A20" t="s">
        <v>689</v>
      </c>
      <c r="B20" s="2" t="s">
        <v>690</v>
      </c>
      <c r="C20" s="78">
        <v>60</v>
      </c>
      <c r="D20" t="s">
        <v>691</v>
      </c>
    </row>
    <row r="21" spans="1:5" x14ac:dyDescent="0.35">
      <c r="A21" t="s">
        <v>692</v>
      </c>
      <c r="B21" s="2" t="s">
        <v>690</v>
      </c>
      <c r="C21" s="78">
        <f>C15/10+$C$20</f>
        <v>72</v>
      </c>
      <c r="D21" t="s">
        <v>693</v>
      </c>
    </row>
    <row r="22" spans="1:5" x14ac:dyDescent="0.35">
      <c r="A22" t="s">
        <v>694</v>
      </c>
      <c r="B22" s="2" t="s">
        <v>690</v>
      </c>
      <c r="C22" s="78">
        <f>C16/10+C20</f>
        <v>84</v>
      </c>
      <c r="D22" t="s">
        <v>695</v>
      </c>
    </row>
    <row r="23" spans="1:5" x14ac:dyDescent="0.35">
      <c r="A23" t="s">
        <v>696</v>
      </c>
      <c r="B23" s="2" t="s">
        <v>690</v>
      </c>
      <c r="C23" s="78">
        <f>C15/7+C20</f>
        <v>77.142857142857139</v>
      </c>
      <c r="D23" t="s">
        <v>697</v>
      </c>
    </row>
    <row r="24" spans="1:5" x14ac:dyDescent="0.35">
      <c r="A24" t="s">
        <v>698</v>
      </c>
      <c r="B24" s="2" t="s">
        <v>690</v>
      </c>
      <c r="C24" s="78">
        <f>C16/7+C20</f>
        <v>94.285714285714278</v>
      </c>
    </row>
    <row r="25" spans="1:5" x14ac:dyDescent="0.35">
      <c r="A25" t="s">
        <v>699</v>
      </c>
      <c r="B25" s="2" t="s">
        <v>690</v>
      </c>
      <c r="C25" s="78">
        <f>C15/5+C20</f>
        <v>84</v>
      </c>
      <c r="D25" t="s">
        <v>700</v>
      </c>
    </row>
    <row r="26" spans="1:5" x14ac:dyDescent="0.35">
      <c r="A26" t="s">
        <v>701</v>
      </c>
      <c r="B26" s="2" t="s">
        <v>690</v>
      </c>
      <c r="C26" s="78">
        <f>C16/5+C20</f>
        <v>108</v>
      </c>
    </row>
    <row r="27" spans="1:5" x14ac:dyDescent="0.35">
      <c r="A27" t="s">
        <v>702</v>
      </c>
      <c r="C27" s="78">
        <f>C17/5</f>
        <v>96</v>
      </c>
    </row>
    <row r="28" spans="1:5" x14ac:dyDescent="0.35">
      <c r="A28" t="s">
        <v>703</v>
      </c>
      <c r="B28" s="2" t="s">
        <v>678</v>
      </c>
      <c r="C28" s="78">
        <f>300*0.333/15+220*0.25</f>
        <v>61.66</v>
      </c>
      <c r="D28" t="s">
        <v>704</v>
      </c>
    </row>
    <row r="29" spans="1:5" x14ac:dyDescent="0.35">
      <c r="A29" t="s">
        <v>705</v>
      </c>
      <c r="B29" s="2" t="s">
        <v>678</v>
      </c>
      <c r="C29" s="78">
        <f>300*0.75/15+220*0.25</f>
        <v>70</v>
      </c>
      <c r="D29" t="s">
        <v>704</v>
      </c>
    </row>
    <row r="30" spans="1:5" x14ac:dyDescent="0.35">
      <c r="A30" t="s">
        <v>706</v>
      </c>
      <c r="B30" s="2" t="s">
        <v>678</v>
      </c>
      <c r="C30" s="78">
        <f>300*1.2/15+220*0.25</f>
        <v>79</v>
      </c>
    </row>
    <row r="33" spans="1:4" x14ac:dyDescent="0.35">
      <c r="A33" s="77" t="s">
        <v>284</v>
      </c>
      <c r="B33" s="42"/>
    </row>
    <row r="34" spans="1:4" x14ac:dyDescent="0.35">
      <c r="A34" t="s">
        <v>707</v>
      </c>
      <c r="B34" s="2" t="s">
        <v>690</v>
      </c>
      <c r="C34" s="78">
        <v>6700</v>
      </c>
      <c r="D34" t="s">
        <v>708</v>
      </c>
    </row>
    <row r="35" spans="1:4" x14ac:dyDescent="0.35">
      <c r="A35" t="s">
        <v>709</v>
      </c>
      <c r="B35" s="2" t="s">
        <v>690</v>
      </c>
      <c r="C35" s="78">
        <v>1750</v>
      </c>
      <c r="D35" t="s">
        <v>710</v>
      </c>
    </row>
    <row r="36" spans="1:4" x14ac:dyDescent="0.35">
      <c r="A36" t="s">
        <v>711</v>
      </c>
      <c r="B36" s="2" t="s">
        <v>690</v>
      </c>
      <c r="C36" s="78">
        <v>450</v>
      </c>
      <c r="D36" t="s">
        <v>712</v>
      </c>
    </row>
    <row r="37" spans="1:4" x14ac:dyDescent="0.35">
      <c r="A37" t="s">
        <v>713</v>
      </c>
      <c r="B37" s="2" t="s">
        <v>714</v>
      </c>
      <c r="C37" s="78">
        <f>Hut!J78</f>
        <v>15400</v>
      </c>
      <c r="D37" t="s">
        <v>715</v>
      </c>
    </row>
    <row r="38" spans="1:4" x14ac:dyDescent="0.35">
      <c r="A38" t="s">
        <v>716</v>
      </c>
      <c r="B38" s="2" t="s">
        <v>714</v>
      </c>
      <c r="C38" s="78">
        <v>5500</v>
      </c>
      <c r="D38" t="s">
        <v>717</v>
      </c>
    </row>
    <row r="39" spans="1:4" x14ac:dyDescent="0.35">
      <c r="A39" t="s">
        <v>718</v>
      </c>
      <c r="B39" s="2" t="s">
        <v>690</v>
      </c>
      <c r="C39" s="78">
        <f>C111</f>
        <v>2400</v>
      </c>
      <c r="D39" t="s">
        <v>719</v>
      </c>
    </row>
    <row r="40" spans="1:4" x14ac:dyDescent="0.35">
      <c r="A40" t="s">
        <v>720</v>
      </c>
      <c r="B40" s="2" t="s">
        <v>721</v>
      </c>
      <c r="C40" s="78">
        <f>(44000/2+73000*0.33*0.5)</f>
        <v>34045</v>
      </c>
      <c r="D40" t="s">
        <v>722</v>
      </c>
    </row>
    <row r="41" spans="1:4" x14ac:dyDescent="0.35">
      <c r="A41" t="s">
        <v>723</v>
      </c>
      <c r="B41" s="2" t="s">
        <v>721</v>
      </c>
      <c r="C41" s="78">
        <f>(65000+0.66*73000)/42</f>
        <v>2694.7619047619046</v>
      </c>
      <c r="D41" t="s">
        <v>724</v>
      </c>
    </row>
    <row r="42" spans="1:4" x14ac:dyDescent="0.35">
      <c r="A42" t="s">
        <v>725</v>
      </c>
      <c r="B42" s="2" t="s">
        <v>690</v>
      </c>
      <c r="C42" s="78">
        <v>550</v>
      </c>
      <c r="D42" t="s">
        <v>726</v>
      </c>
    </row>
    <row r="43" spans="1:4" x14ac:dyDescent="0.35">
      <c r="A43" t="s">
        <v>727</v>
      </c>
      <c r="B43" s="2" t="s">
        <v>690</v>
      </c>
      <c r="C43" s="78">
        <v>750</v>
      </c>
      <c r="D43" t="s">
        <v>728</v>
      </c>
    </row>
    <row r="44" spans="1:4" x14ac:dyDescent="0.35">
      <c r="A44" t="s">
        <v>729</v>
      </c>
      <c r="B44" s="2" t="s">
        <v>690</v>
      </c>
      <c r="C44" s="78">
        <v>1750</v>
      </c>
      <c r="D44" t="s">
        <v>730</v>
      </c>
    </row>
    <row r="45" spans="1:4" x14ac:dyDescent="0.35">
      <c r="A45" t="s">
        <v>731</v>
      </c>
      <c r="B45" s="2" t="s">
        <v>690</v>
      </c>
      <c r="C45" s="78">
        <f>(4*3600+10000+6*2500)/20</f>
        <v>1970</v>
      </c>
      <c r="D45" t="s">
        <v>732</v>
      </c>
    </row>
    <row r="47" spans="1:4" x14ac:dyDescent="0.35">
      <c r="A47" s="77" t="s">
        <v>733</v>
      </c>
      <c r="B47" s="42"/>
    </row>
    <row r="48" spans="1:4" x14ac:dyDescent="0.35">
      <c r="A48" t="s">
        <v>734</v>
      </c>
    </row>
    <row r="49" spans="1:8" x14ac:dyDescent="0.35">
      <c r="A49" t="s">
        <v>735</v>
      </c>
      <c r="C49" s="78">
        <v>1750</v>
      </c>
      <c r="D49" t="s">
        <v>736</v>
      </c>
    </row>
    <row r="50" spans="1:8" x14ac:dyDescent="0.35">
      <c r="A50" t="s">
        <v>737</v>
      </c>
      <c r="C50" s="78">
        <v>2250</v>
      </c>
      <c r="D50" t="s">
        <v>736</v>
      </c>
    </row>
    <row r="51" spans="1:8" x14ac:dyDescent="0.35">
      <c r="A51" t="s">
        <v>738</v>
      </c>
      <c r="C51" s="78">
        <v>3500</v>
      </c>
      <c r="D51" t="s">
        <v>736</v>
      </c>
    </row>
    <row r="52" spans="1:8" x14ac:dyDescent="0.35">
      <c r="A52" t="s">
        <v>739</v>
      </c>
      <c r="C52" s="78">
        <v>5500</v>
      </c>
      <c r="D52" t="s">
        <v>736</v>
      </c>
    </row>
    <row r="53" spans="1:8" x14ac:dyDescent="0.35">
      <c r="A53" t="s">
        <v>740</v>
      </c>
      <c r="C53" s="78">
        <v>750</v>
      </c>
      <c r="D53" t="s">
        <v>741</v>
      </c>
    </row>
    <row r="55" spans="1:8" x14ac:dyDescent="0.35">
      <c r="A55" s="77" t="s">
        <v>742</v>
      </c>
      <c r="B55" s="42"/>
    </row>
    <row r="56" spans="1:8" x14ac:dyDescent="0.35">
      <c r="A56" t="s">
        <v>743</v>
      </c>
      <c r="C56" s="78">
        <v>2550</v>
      </c>
      <c r="D56" t="s">
        <v>68</v>
      </c>
      <c r="H56"/>
    </row>
    <row r="57" spans="1:8" x14ac:dyDescent="0.35">
      <c r="A57" t="s">
        <v>744</v>
      </c>
      <c r="C57" s="78">
        <v>1750</v>
      </c>
      <c r="D57" t="s">
        <v>68</v>
      </c>
      <c r="H57"/>
    </row>
    <row r="58" spans="1:8" x14ac:dyDescent="0.35">
      <c r="A58" t="s">
        <v>745</v>
      </c>
      <c r="C58" s="78">
        <v>1500</v>
      </c>
      <c r="D58" t="s">
        <v>68</v>
      </c>
      <c r="H58"/>
    </row>
    <row r="60" spans="1:8" x14ac:dyDescent="0.35">
      <c r="A60" s="77" t="s">
        <v>746</v>
      </c>
      <c r="B60" s="42"/>
    </row>
    <row r="61" spans="1:8" x14ac:dyDescent="0.35">
      <c r="A61" t="s">
        <v>747</v>
      </c>
      <c r="C61" s="78" t="s">
        <v>68</v>
      </c>
      <c r="D61" t="s">
        <v>748</v>
      </c>
    </row>
    <row r="62" spans="1:8" x14ac:dyDescent="0.35">
      <c r="A62" t="s">
        <v>749</v>
      </c>
      <c r="C62" s="78">
        <v>15000</v>
      </c>
      <c r="D62" t="s">
        <v>750</v>
      </c>
    </row>
    <row r="63" spans="1:8" x14ac:dyDescent="0.35">
      <c r="A63" t="s">
        <v>751</v>
      </c>
      <c r="D63" t="s">
        <v>748</v>
      </c>
    </row>
    <row r="65" spans="1:8" x14ac:dyDescent="0.35">
      <c r="A65" s="77" t="s">
        <v>752</v>
      </c>
      <c r="B65" s="42"/>
    </row>
    <row r="66" spans="1:8" x14ac:dyDescent="0.35">
      <c r="A66" t="s">
        <v>753</v>
      </c>
      <c r="C66" s="78">
        <v>0</v>
      </c>
      <c r="D66" t="s">
        <v>754</v>
      </c>
    </row>
    <row r="67" spans="1:8" x14ac:dyDescent="0.35">
      <c r="A67" t="s">
        <v>755</v>
      </c>
      <c r="C67" s="78">
        <v>0</v>
      </c>
      <c r="D67" t="s">
        <v>754</v>
      </c>
    </row>
    <row r="69" spans="1:8" x14ac:dyDescent="0.35">
      <c r="A69" s="77" t="s">
        <v>756</v>
      </c>
      <c r="B69" s="42"/>
    </row>
    <row r="70" spans="1:8" x14ac:dyDescent="0.35">
      <c r="A70" t="s">
        <v>757</v>
      </c>
      <c r="C70" s="78">
        <v>275</v>
      </c>
      <c r="D70" t="s">
        <v>758</v>
      </c>
      <c r="H70"/>
    </row>
    <row r="71" spans="1:8" x14ac:dyDescent="0.35">
      <c r="A71" t="s">
        <v>759</v>
      </c>
      <c r="C71" s="78">
        <v>275</v>
      </c>
      <c r="D71" t="s">
        <v>760</v>
      </c>
      <c r="H71"/>
    </row>
    <row r="72" spans="1:8" x14ac:dyDescent="0.35">
      <c r="A72" t="s">
        <v>761</v>
      </c>
      <c r="C72" s="78">
        <v>275</v>
      </c>
      <c r="D72" t="s">
        <v>762</v>
      </c>
      <c r="H72"/>
    </row>
    <row r="73" spans="1:8" x14ac:dyDescent="0.35">
      <c r="A73" t="s">
        <v>763</v>
      </c>
      <c r="C73" s="78">
        <v>275</v>
      </c>
      <c r="D73" t="s">
        <v>762</v>
      </c>
      <c r="H73"/>
    </row>
    <row r="74" spans="1:8" x14ac:dyDescent="0.35">
      <c r="C74" s="78" t="s">
        <v>68</v>
      </c>
      <c r="H74"/>
    </row>
    <row r="75" spans="1:8" x14ac:dyDescent="0.35">
      <c r="A75" s="77" t="s">
        <v>764</v>
      </c>
      <c r="B75" s="42"/>
      <c r="H75"/>
    </row>
    <row r="76" spans="1:8" x14ac:dyDescent="0.35">
      <c r="A76" t="s">
        <v>765</v>
      </c>
      <c r="C76" s="78">
        <v>0</v>
      </c>
      <c r="D76" t="s">
        <v>766</v>
      </c>
      <c r="H76"/>
    </row>
    <row r="77" spans="1:8" x14ac:dyDescent="0.35">
      <c r="A77" t="s">
        <v>767</v>
      </c>
      <c r="C77" s="78">
        <v>0</v>
      </c>
      <c r="D77" t="s">
        <v>766</v>
      </c>
      <c r="H77"/>
    </row>
    <row r="78" spans="1:8" x14ac:dyDescent="0.35">
      <c r="C78" s="78">
        <f>SUM(C76:C77)</f>
        <v>0</v>
      </c>
      <c r="H78"/>
    </row>
    <row r="79" spans="1:8" x14ac:dyDescent="0.35">
      <c r="H79"/>
    </row>
    <row r="80" spans="1:8" x14ac:dyDescent="0.35">
      <c r="A80" s="77" t="s">
        <v>768</v>
      </c>
      <c r="B80" s="42"/>
      <c r="H80"/>
    </row>
    <row r="81" spans="1:8" x14ac:dyDescent="0.35">
      <c r="A81" t="s">
        <v>769</v>
      </c>
      <c r="C81" s="78">
        <v>275</v>
      </c>
      <c r="D81" t="s">
        <v>770</v>
      </c>
      <c r="H81"/>
    </row>
    <row r="82" spans="1:8" x14ac:dyDescent="0.35">
      <c r="A82" t="s">
        <v>771</v>
      </c>
      <c r="D82" t="s">
        <v>772</v>
      </c>
      <c r="H82"/>
    </row>
    <row r="83" spans="1:8" x14ac:dyDescent="0.35">
      <c r="A83" t="s">
        <v>773</v>
      </c>
      <c r="C83" s="78">
        <v>275</v>
      </c>
      <c r="D83" t="s">
        <v>770</v>
      </c>
      <c r="H83"/>
    </row>
    <row r="84" spans="1:8" x14ac:dyDescent="0.35">
      <c r="A84" t="s">
        <v>771</v>
      </c>
      <c r="D84" t="s">
        <v>772</v>
      </c>
      <c r="H84"/>
    </row>
    <row r="85" spans="1:8" x14ac:dyDescent="0.35">
      <c r="C85" s="78" t="s">
        <v>68</v>
      </c>
      <c r="H85"/>
    </row>
    <row r="86" spans="1:8" x14ac:dyDescent="0.35">
      <c r="A86" s="77" t="s">
        <v>531</v>
      </c>
      <c r="B86" s="42"/>
      <c r="C86"/>
      <c r="H86"/>
    </row>
    <row r="87" spans="1:8" x14ac:dyDescent="0.35">
      <c r="A87" t="s">
        <v>774</v>
      </c>
      <c r="C87" s="78">
        <f>2500</f>
        <v>2500</v>
      </c>
      <c r="D87" t="s">
        <v>775</v>
      </c>
      <c r="H87"/>
    </row>
    <row r="88" spans="1:8" x14ac:dyDescent="0.35">
      <c r="A88" t="s">
        <v>776</v>
      </c>
      <c r="C88" s="78">
        <v>5000</v>
      </c>
      <c r="D88" t="s">
        <v>777</v>
      </c>
      <c r="H88"/>
    </row>
    <row r="89" spans="1:8" x14ac:dyDescent="0.35">
      <c r="A89" t="s">
        <v>778</v>
      </c>
      <c r="C89"/>
      <c r="D89" t="s">
        <v>779</v>
      </c>
      <c r="H89"/>
    </row>
    <row r="90" spans="1:8" x14ac:dyDescent="0.35">
      <c r="A90" t="s">
        <v>780</v>
      </c>
      <c r="C90" s="78">
        <f>2500+3600</f>
        <v>6100</v>
      </c>
      <c r="D90" t="s">
        <v>781</v>
      </c>
      <c r="H90"/>
    </row>
    <row r="92" spans="1:8" x14ac:dyDescent="0.35">
      <c r="A92" s="77" t="s">
        <v>782</v>
      </c>
      <c r="B92" s="42"/>
    </row>
    <row r="93" spans="1:8" x14ac:dyDescent="0.35">
      <c r="A93" t="s">
        <v>783</v>
      </c>
      <c r="B93" s="42"/>
      <c r="C93" s="100">
        <v>0.04</v>
      </c>
      <c r="D93" t="s">
        <v>784</v>
      </c>
    </row>
    <row r="94" spans="1:8" x14ac:dyDescent="0.35">
      <c r="A94" t="s">
        <v>785</v>
      </c>
      <c r="C94" s="100">
        <v>0.04</v>
      </c>
      <c r="D94" t="s">
        <v>784</v>
      </c>
    </row>
    <row r="95" spans="1:8" x14ac:dyDescent="0.35">
      <c r="A95" t="s">
        <v>786</v>
      </c>
      <c r="C95" s="100">
        <v>3.5000000000000003E-2</v>
      </c>
      <c r="D95" t="s">
        <v>784</v>
      </c>
    </row>
    <row r="96" spans="1:8" x14ac:dyDescent="0.35">
      <c r="A96" t="s">
        <v>787</v>
      </c>
      <c r="C96" s="100">
        <v>0.05</v>
      </c>
      <c r="D96" t="s">
        <v>784</v>
      </c>
    </row>
    <row r="97" spans="1:4" x14ac:dyDescent="0.35">
      <c r="A97" t="s">
        <v>788</v>
      </c>
      <c r="C97" s="100">
        <v>0.15</v>
      </c>
      <c r="D97" t="s">
        <v>784</v>
      </c>
    </row>
    <row r="98" spans="1:4" x14ac:dyDescent="0.35">
      <c r="A98" t="s">
        <v>789</v>
      </c>
      <c r="C98" s="100">
        <v>0.1</v>
      </c>
      <c r="D98" t="s">
        <v>790</v>
      </c>
    </row>
    <row r="99" spans="1:4" x14ac:dyDescent="0.35">
      <c r="C99" s="116">
        <f>SUM(C93:C98)</f>
        <v>0.41500000000000004</v>
      </c>
    </row>
    <row r="101" spans="1:4" x14ac:dyDescent="0.35">
      <c r="A101" s="77" t="s">
        <v>429</v>
      </c>
    </row>
    <row r="102" spans="1:4" x14ac:dyDescent="0.35">
      <c r="A102" t="s">
        <v>791</v>
      </c>
      <c r="C102" s="78">
        <v>40</v>
      </c>
      <c r="D102" t="s">
        <v>792</v>
      </c>
    </row>
    <row r="103" spans="1:4" x14ac:dyDescent="0.35">
      <c r="A103" t="s">
        <v>793</v>
      </c>
      <c r="C103" s="78">
        <v>25</v>
      </c>
      <c r="D103" t="s">
        <v>794</v>
      </c>
    </row>
    <row r="104" spans="1:4" x14ac:dyDescent="0.35">
      <c r="A104" t="s">
        <v>795</v>
      </c>
      <c r="C104" s="78">
        <v>15</v>
      </c>
      <c r="D104" t="s">
        <v>796</v>
      </c>
    </row>
    <row r="105" spans="1:4" x14ac:dyDescent="0.35">
      <c r="A105" t="s">
        <v>797</v>
      </c>
      <c r="C105" s="78">
        <v>150</v>
      </c>
      <c r="D105" t="s">
        <v>798</v>
      </c>
    </row>
    <row r="106" spans="1:4" x14ac:dyDescent="0.35">
      <c r="A106" t="s">
        <v>799</v>
      </c>
      <c r="C106" s="78">
        <v>50</v>
      </c>
      <c r="D106" t="s">
        <v>800</v>
      </c>
    </row>
    <row r="107" spans="1:4" x14ac:dyDescent="0.35">
      <c r="A107" t="s">
        <v>801</v>
      </c>
      <c r="C107" s="78">
        <v>50</v>
      </c>
      <c r="D107" t="s">
        <v>802</v>
      </c>
    </row>
    <row r="108" spans="1:4" ht="15" thickBot="1" x14ac:dyDescent="0.4">
      <c r="A108" t="s">
        <v>803</v>
      </c>
      <c r="C108" s="99">
        <f>C102*2+C103*2+C104*6+C105+C106*2+C107</f>
        <v>520</v>
      </c>
    </row>
    <row r="109" spans="1:4" ht="15" thickTop="1" x14ac:dyDescent="0.35">
      <c r="A109" t="s">
        <v>804</v>
      </c>
      <c r="C109" s="78">
        <f>85*8</f>
        <v>680</v>
      </c>
      <c r="D109" t="s">
        <v>805</v>
      </c>
    </row>
    <row r="110" spans="1:4" x14ac:dyDescent="0.35">
      <c r="A110" t="s">
        <v>806</v>
      </c>
      <c r="C110" s="78">
        <v>1200</v>
      </c>
      <c r="D110" t="s">
        <v>807</v>
      </c>
    </row>
    <row r="111" spans="1:4" ht="15" thickBot="1" x14ac:dyDescent="0.4">
      <c r="A111" s="77" t="s">
        <v>808</v>
      </c>
      <c r="C111" s="98">
        <f>C108+C109+C110</f>
        <v>2400</v>
      </c>
      <c r="D111" s="77" t="s">
        <v>805</v>
      </c>
    </row>
    <row r="112" spans="1:4" ht="15" thickTop="1" x14ac:dyDescent="0.35"/>
    <row r="113" spans="1:1" x14ac:dyDescent="0.35">
      <c r="A113" s="93" t="s">
        <v>809</v>
      </c>
    </row>
    <row r="114" spans="1:1" x14ac:dyDescent="0.35">
      <c r="A114" s="93" t="s">
        <v>810</v>
      </c>
    </row>
    <row r="115" spans="1:1" x14ac:dyDescent="0.35">
      <c r="A115" t="s">
        <v>811</v>
      </c>
    </row>
    <row r="116" spans="1:1" x14ac:dyDescent="0.35">
      <c r="A116" t="s">
        <v>812</v>
      </c>
    </row>
    <row r="117" spans="1:1" x14ac:dyDescent="0.35">
      <c r="A117" t="s">
        <v>813</v>
      </c>
    </row>
    <row r="118" spans="1:1" x14ac:dyDescent="0.35">
      <c r="A118" t="s">
        <v>814</v>
      </c>
    </row>
    <row r="119" spans="1:1" x14ac:dyDescent="0.35">
      <c r="A119" t="s">
        <v>815</v>
      </c>
    </row>
    <row r="121" spans="1:1" x14ac:dyDescent="0.35">
      <c r="A121" s="93" t="s">
        <v>816</v>
      </c>
    </row>
    <row r="122" spans="1:1" x14ac:dyDescent="0.35">
      <c r="A122" t="s">
        <v>817</v>
      </c>
    </row>
    <row r="123" spans="1:1" x14ac:dyDescent="0.35">
      <c r="A123" t="s">
        <v>818</v>
      </c>
    </row>
    <row r="124" spans="1:1" x14ac:dyDescent="0.35">
      <c r="A124" t="s">
        <v>819</v>
      </c>
    </row>
    <row r="126" spans="1:1" x14ac:dyDescent="0.35">
      <c r="A126" s="77" t="s">
        <v>820</v>
      </c>
    </row>
    <row r="127" spans="1:1" x14ac:dyDescent="0.35">
      <c r="A127" t="s">
        <v>821</v>
      </c>
    </row>
    <row r="128" spans="1:1" x14ac:dyDescent="0.35">
      <c r="A128" t="s">
        <v>822</v>
      </c>
    </row>
    <row r="131" spans="1:3" x14ac:dyDescent="0.35">
      <c r="A131" s="77" t="s">
        <v>823</v>
      </c>
    </row>
    <row r="132" spans="1:3" x14ac:dyDescent="0.35">
      <c r="A132" t="s">
        <v>689</v>
      </c>
      <c r="B132" s="2" t="s">
        <v>678</v>
      </c>
      <c r="C132" s="78">
        <v>25</v>
      </c>
    </row>
    <row r="133" spans="1:3" x14ac:dyDescent="0.35">
      <c r="A133" t="s">
        <v>824</v>
      </c>
      <c r="B133" s="2" t="s">
        <v>678</v>
      </c>
      <c r="C133" s="78">
        <v>22</v>
      </c>
    </row>
    <row r="134" spans="1:3" x14ac:dyDescent="0.35">
      <c r="A134" t="s">
        <v>825</v>
      </c>
      <c r="B134" s="2" t="s">
        <v>678</v>
      </c>
      <c r="C134" s="78">
        <v>7</v>
      </c>
    </row>
    <row r="135" spans="1:3" x14ac:dyDescent="0.35">
      <c r="A135" t="s">
        <v>826</v>
      </c>
      <c r="B135" s="2" t="s">
        <v>678</v>
      </c>
      <c r="C135" s="78">
        <v>100</v>
      </c>
    </row>
    <row r="136" spans="1:3" x14ac:dyDescent="0.35">
      <c r="A136" t="s">
        <v>827</v>
      </c>
      <c r="B136" s="2" t="s">
        <v>678</v>
      </c>
      <c r="C136" s="78">
        <v>30</v>
      </c>
    </row>
    <row r="137" spans="1:3" x14ac:dyDescent="0.35">
      <c r="A137" t="s">
        <v>828</v>
      </c>
      <c r="B137" s="2" t="s">
        <v>829</v>
      </c>
      <c r="C137" s="78">
        <v>1.5</v>
      </c>
    </row>
    <row r="138" spans="1:3" x14ac:dyDescent="0.35">
      <c r="A138" t="s">
        <v>830</v>
      </c>
    </row>
    <row r="140" spans="1:3" x14ac:dyDescent="0.35">
      <c r="C140" s="78">
        <f>18000/300</f>
        <v>60</v>
      </c>
    </row>
  </sheetData>
  <sheetProtection algorithmName="SHA-512" hashValue="04UY1J+DncyzJUxZuXyauYyVJjk4VfsT8T65s7+eujj135RhanXUMjveHNLhlFLU8qBfVOvWxcWjFGTRpdGOkw==" saltValue="AYxJ7p8Mmh5hQNMAqwxx8Q==" spinCount="100000" sheet="1" objects="1" scenarios="1"/>
  <phoneticPr fontId="1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73A01-78DD-4424-9B1D-C2A52EB33C4F}">
  <dimension ref="B1:U366"/>
  <sheetViews>
    <sheetView topLeftCell="A177" workbookViewId="0">
      <selection activeCell="E195" sqref="E195"/>
    </sheetView>
  </sheetViews>
  <sheetFormatPr defaultRowHeight="14.5" x14ac:dyDescent="0.35"/>
  <cols>
    <col min="1" max="1" width="2.81640625" customWidth="1"/>
    <col min="2" max="2" width="7.7265625" style="2" customWidth="1"/>
    <col min="3" max="3" width="6.54296875" style="2" customWidth="1"/>
    <col min="4" max="4" width="8.54296875" style="2" bestFit="1" customWidth="1"/>
    <col min="5" max="6" width="12.54296875" style="2" bestFit="1" customWidth="1"/>
    <col min="7" max="8" width="14.26953125" style="2" bestFit="1" customWidth="1"/>
    <col min="9" max="9" width="12.54296875" style="2" bestFit="1" customWidth="1"/>
    <col min="10" max="10" width="11.54296875" style="2" bestFit="1" customWidth="1"/>
    <col min="11" max="11" width="14.26953125" style="2" bestFit="1" customWidth="1"/>
    <col min="12" max="12" width="12.54296875" style="2" bestFit="1" customWidth="1"/>
    <col min="13" max="13" width="14.26953125" style="2" bestFit="1" customWidth="1"/>
    <col min="14" max="14" width="11.54296875" style="2" bestFit="1" customWidth="1"/>
    <col min="15" max="15" width="14.26953125" style="2" bestFit="1" customWidth="1"/>
    <col min="16" max="17" width="12.54296875" style="2" bestFit="1" customWidth="1"/>
    <col min="18" max="19" width="11.54296875" style="2" bestFit="1" customWidth="1"/>
    <col min="20" max="20" width="14.26953125" style="2" bestFit="1" customWidth="1"/>
    <col min="21" max="21" width="94.1796875" style="1" customWidth="1"/>
  </cols>
  <sheetData>
    <row r="1" spans="2:21" x14ac:dyDescent="0.35">
      <c r="B1" s="10" t="s">
        <v>831</v>
      </c>
    </row>
    <row r="2" spans="2:21" x14ac:dyDescent="0.35">
      <c r="B2" s="11" t="s">
        <v>832</v>
      </c>
    </row>
    <row r="3" spans="2:21" x14ac:dyDescent="0.35">
      <c r="B3" s="11" t="s">
        <v>833</v>
      </c>
    </row>
    <row r="4" spans="2:21" x14ac:dyDescent="0.35">
      <c r="B4" s="11"/>
    </row>
    <row r="5" spans="2:21" x14ac:dyDescent="0.35">
      <c r="B5" s="10" t="str">
        <f>Assessments!A109</f>
        <v>Eglinton River Trail</v>
      </c>
    </row>
    <row r="6" spans="2:21" x14ac:dyDescent="0.35">
      <c r="B6" s="79" t="s">
        <v>834</v>
      </c>
      <c r="C6" s="80" t="s">
        <v>835</v>
      </c>
      <c r="D6" s="80" t="s">
        <v>836</v>
      </c>
      <c r="E6" s="233" t="s">
        <v>837</v>
      </c>
      <c r="F6" s="234"/>
      <c r="G6" s="234"/>
      <c r="H6" s="234"/>
      <c r="I6" s="235"/>
      <c r="J6" s="80" t="s">
        <v>677</v>
      </c>
      <c r="K6" s="80" t="s">
        <v>838</v>
      </c>
      <c r="L6" s="80" t="s">
        <v>839</v>
      </c>
      <c r="M6" s="80" t="s">
        <v>840</v>
      </c>
      <c r="N6" s="80" t="s">
        <v>711</v>
      </c>
      <c r="O6" s="80" t="s">
        <v>707</v>
      </c>
      <c r="P6" s="81" t="s">
        <v>841</v>
      </c>
      <c r="Q6" s="81" t="s">
        <v>842</v>
      </c>
      <c r="R6" s="236" t="s">
        <v>843</v>
      </c>
      <c r="S6" s="236"/>
      <c r="T6" s="236"/>
      <c r="U6" s="79" t="s">
        <v>844</v>
      </c>
    </row>
    <row r="7" spans="2:21" x14ac:dyDescent="0.35">
      <c r="B7" s="42"/>
      <c r="C7" s="82"/>
      <c r="E7" s="80" t="s">
        <v>666</v>
      </c>
      <c r="F7" s="80" t="s">
        <v>668</v>
      </c>
      <c r="G7" s="80" t="s">
        <v>670</v>
      </c>
      <c r="H7" s="80" t="s">
        <v>845</v>
      </c>
      <c r="I7" s="80" t="s">
        <v>846</v>
      </c>
      <c r="J7" s="82"/>
      <c r="K7" s="82"/>
      <c r="L7" s="82"/>
      <c r="M7" s="82"/>
      <c r="N7" s="82"/>
      <c r="O7" s="82"/>
      <c r="P7" s="82"/>
      <c r="Q7" s="82"/>
      <c r="R7" s="80">
        <v>750</v>
      </c>
      <c r="S7" s="80" t="s">
        <v>738</v>
      </c>
      <c r="T7" s="80" t="s">
        <v>739</v>
      </c>
    </row>
    <row r="8" spans="2:21" x14ac:dyDescent="0.35">
      <c r="B8" s="2">
        <v>0</v>
      </c>
      <c r="C8" s="2">
        <v>200</v>
      </c>
      <c r="D8" s="5">
        <f>C8-B8</f>
        <v>200</v>
      </c>
      <c r="E8" s="5">
        <f>D8</f>
        <v>200</v>
      </c>
      <c r="F8" s="5" t="s">
        <v>68</v>
      </c>
      <c r="G8" s="5" t="s">
        <v>68</v>
      </c>
      <c r="L8" s="5">
        <f>D8</f>
        <v>200</v>
      </c>
      <c r="M8" s="2" t="s">
        <v>68</v>
      </c>
      <c r="O8" s="2" t="s">
        <v>68</v>
      </c>
      <c r="R8" s="2">
        <v>2</v>
      </c>
      <c r="U8" s="1" t="s">
        <v>847</v>
      </c>
    </row>
    <row r="9" spans="2:21" x14ac:dyDescent="0.35">
      <c r="B9" s="2">
        <f>C8</f>
        <v>200</v>
      </c>
      <c r="C9" s="2">
        <v>500</v>
      </c>
      <c r="D9" s="5">
        <f t="shared" ref="D9" si="0">C9-B9</f>
        <v>300</v>
      </c>
      <c r="E9" s="5">
        <f>D9</f>
        <v>300</v>
      </c>
      <c r="O9" s="5" t="s">
        <v>68</v>
      </c>
      <c r="Q9" s="2">
        <v>1</v>
      </c>
      <c r="R9" s="2">
        <v>2</v>
      </c>
      <c r="U9" s="1" t="s">
        <v>848</v>
      </c>
    </row>
    <row r="10" spans="2:21" x14ac:dyDescent="0.35">
      <c r="B10" s="239" t="s">
        <v>849</v>
      </c>
      <c r="C10" s="239"/>
      <c r="D10" s="5">
        <f>SUM(D8:D9)</f>
        <v>500</v>
      </c>
      <c r="E10" s="5">
        <f t="shared" ref="E10:Q10" si="1">SUM(E8:E9)</f>
        <v>500</v>
      </c>
      <c r="F10" s="5">
        <f t="shared" si="1"/>
        <v>0</v>
      </c>
      <c r="G10" s="5">
        <f t="shared" si="1"/>
        <v>0</v>
      </c>
      <c r="H10" s="5">
        <f t="shared" si="1"/>
        <v>0</v>
      </c>
      <c r="I10" s="5">
        <f t="shared" si="1"/>
        <v>0</v>
      </c>
      <c r="J10" s="5">
        <f t="shared" si="1"/>
        <v>0</v>
      </c>
      <c r="K10" s="5">
        <f t="shared" si="1"/>
        <v>0</v>
      </c>
      <c r="L10" s="5">
        <f t="shared" si="1"/>
        <v>200</v>
      </c>
      <c r="M10" s="5">
        <f t="shared" si="1"/>
        <v>0</v>
      </c>
      <c r="N10" s="5">
        <f t="shared" si="1"/>
        <v>0</v>
      </c>
      <c r="O10" s="5">
        <f t="shared" si="1"/>
        <v>0</v>
      </c>
      <c r="P10" s="5">
        <f t="shared" si="1"/>
        <v>0</v>
      </c>
      <c r="Q10" s="5">
        <f t="shared" si="1"/>
        <v>1</v>
      </c>
      <c r="R10" s="5">
        <f>SUM(R8:R9)</f>
        <v>4</v>
      </c>
      <c r="U10" s="1" t="s">
        <v>850</v>
      </c>
    </row>
    <row r="11" spans="2:21" x14ac:dyDescent="0.35">
      <c r="B11" s="239" t="s">
        <v>851</v>
      </c>
      <c r="C11" s="239"/>
      <c r="E11" s="95">
        <f>Rates!C6*E10</f>
        <v>16666.666666666668</v>
      </c>
      <c r="L11" s="95">
        <f>L10*Rates!C20</f>
        <v>12000</v>
      </c>
      <c r="Q11" s="95">
        <f>6*3*Rates!C38</f>
        <v>99000</v>
      </c>
      <c r="R11" s="95">
        <f>R10*Rates!$C$50</f>
        <v>9000</v>
      </c>
    </row>
    <row r="12" spans="2:21" x14ac:dyDescent="0.35">
      <c r="B12" s="240" t="s">
        <v>852</v>
      </c>
      <c r="C12" s="241"/>
      <c r="D12" s="146"/>
      <c r="E12" s="149"/>
      <c r="F12" s="146"/>
      <c r="G12" s="146"/>
      <c r="H12" s="146"/>
      <c r="I12" s="146"/>
      <c r="J12" s="146"/>
      <c r="K12" s="146"/>
      <c r="L12" s="149"/>
      <c r="M12" s="147">
        <f>SUM(E11:M11)</f>
        <v>28666.666666666668</v>
      </c>
      <c r="Q12" s="95"/>
    </row>
    <row r="13" spans="2:21" x14ac:dyDescent="0.35">
      <c r="B13" s="237" t="s">
        <v>284</v>
      </c>
      <c r="C13" s="238"/>
      <c r="D13" s="86"/>
      <c r="E13" s="148"/>
      <c r="F13" s="86"/>
      <c r="G13" s="86"/>
      <c r="H13" s="86"/>
      <c r="I13" s="86"/>
      <c r="J13" s="86"/>
      <c r="K13" s="86"/>
      <c r="L13" s="148"/>
      <c r="M13" s="86"/>
      <c r="N13" s="86"/>
      <c r="O13" s="86"/>
      <c r="P13" s="86"/>
      <c r="Q13" s="148"/>
      <c r="R13" s="86"/>
      <c r="S13" s="86"/>
      <c r="T13" s="150">
        <f>SUM(N11:T11)</f>
        <v>108000</v>
      </c>
    </row>
    <row r="14" spans="2:21" x14ac:dyDescent="0.35">
      <c r="B14" s="42"/>
      <c r="C14" s="42"/>
      <c r="E14" s="95"/>
      <c r="L14" s="95"/>
      <c r="Q14" s="95"/>
    </row>
    <row r="16" spans="2:21" x14ac:dyDescent="0.35">
      <c r="B16" s="10" t="str">
        <f>Assessments!A126</f>
        <v>Te Huakaue Knobs Flat Short Walks</v>
      </c>
    </row>
    <row r="17" spans="2:21" x14ac:dyDescent="0.35">
      <c r="B17" s="79" t="s">
        <v>834</v>
      </c>
      <c r="C17" s="80" t="s">
        <v>835</v>
      </c>
      <c r="D17" s="80" t="s">
        <v>836</v>
      </c>
      <c r="E17" s="233" t="s">
        <v>837</v>
      </c>
      <c r="F17" s="234"/>
      <c r="G17" s="234"/>
      <c r="H17" s="234"/>
      <c r="I17" s="235"/>
      <c r="J17" s="80" t="s">
        <v>677</v>
      </c>
      <c r="K17" s="80" t="s">
        <v>838</v>
      </c>
      <c r="L17" s="80" t="s">
        <v>839</v>
      </c>
      <c r="M17" s="80" t="s">
        <v>840</v>
      </c>
      <c r="N17" s="80" t="s">
        <v>711</v>
      </c>
      <c r="O17" s="80" t="s">
        <v>707</v>
      </c>
      <c r="P17" s="81" t="s">
        <v>841</v>
      </c>
      <c r="Q17" s="81" t="s">
        <v>842</v>
      </c>
      <c r="R17" s="236" t="s">
        <v>843</v>
      </c>
      <c r="S17" s="236"/>
      <c r="T17" s="236"/>
      <c r="U17" s="79" t="s">
        <v>844</v>
      </c>
    </row>
    <row r="18" spans="2:21" x14ac:dyDescent="0.35">
      <c r="B18" s="42"/>
      <c r="C18" s="82"/>
      <c r="E18" s="80" t="s">
        <v>666</v>
      </c>
      <c r="F18" s="80" t="s">
        <v>668</v>
      </c>
      <c r="G18" s="80" t="s">
        <v>670</v>
      </c>
      <c r="H18" s="80" t="s">
        <v>845</v>
      </c>
      <c r="I18" s="80" t="s">
        <v>846</v>
      </c>
      <c r="J18" s="82"/>
      <c r="K18" s="82"/>
      <c r="L18" s="82"/>
      <c r="M18" s="82"/>
      <c r="N18" s="82"/>
      <c r="O18" s="82"/>
      <c r="P18" s="82"/>
      <c r="Q18" s="82"/>
      <c r="R18" s="80">
        <v>750</v>
      </c>
      <c r="S18" s="80" t="s">
        <v>738</v>
      </c>
      <c r="T18" s="80" t="s">
        <v>739</v>
      </c>
    </row>
    <row r="19" spans="2:21" x14ac:dyDescent="0.35">
      <c r="B19" s="2">
        <v>0</v>
      </c>
      <c r="C19" s="2">
        <v>0</v>
      </c>
      <c r="D19" s="5">
        <f>260+400+130+130</f>
        <v>920</v>
      </c>
      <c r="F19" s="5">
        <f>D19</f>
        <v>920</v>
      </c>
      <c r="G19" s="5" t="s">
        <v>68</v>
      </c>
      <c r="J19" s="2">
        <f>D19*0.15*2</f>
        <v>276</v>
      </c>
      <c r="L19" s="5">
        <f>D19</f>
        <v>920</v>
      </c>
      <c r="M19" s="2" t="s">
        <v>68</v>
      </c>
      <c r="O19" s="2">
        <f>12+18</f>
        <v>30</v>
      </c>
      <c r="R19" s="2">
        <v>9</v>
      </c>
      <c r="U19" s="1" t="s">
        <v>853</v>
      </c>
    </row>
    <row r="20" spans="2:21" x14ac:dyDescent="0.35">
      <c r="B20" s="2">
        <v>0</v>
      </c>
      <c r="C20" s="2">
        <v>0</v>
      </c>
      <c r="D20" s="5">
        <v>380</v>
      </c>
      <c r="G20" s="5">
        <f>D20</f>
        <v>380</v>
      </c>
      <c r="J20" s="2">
        <f>G20*0.5*0.15*1</f>
        <v>28.5</v>
      </c>
      <c r="O20" s="5" t="s">
        <v>68</v>
      </c>
      <c r="Q20" s="2">
        <v>2</v>
      </c>
      <c r="U20" s="1" t="s">
        <v>854</v>
      </c>
    </row>
    <row r="21" spans="2:21" x14ac:dyDescent="0.35">
      <c r="B21" s="239" t="s">
        <v>849</v>
      </c>
      <c r="C21" s="239"/>
      <c r="D21" s="5">
        <f>SUM(D19:D20)</f>
        <v>1300</v>
      </c>
      <c r="E21" s="5">
        <f t="shared" ref="E21" si="2">SUM(E19:E20)</f>
        <v>0</v>
      </c>
      <c r="F21" s="5">
        <f t="shared" ref="F21" si="3">SUM(F19:F20)</f>
        <v>920</v>
      </c>
      <c r="G21" s="5">
        <f t="shared" ref="G21" si="4">SUM(G19:G20)</f>
        <v>380</v>
      </c>
      <c r="H21" s="5">
        <f t="shared" ref="H21" si="5">SUM(H19:H20)</f>
        <v>0</v>
      </c>
      <c r="I21" s="5">
        <f t="shared" ref="I21" si="6">SUM(I19:I20)</f>
        <v>0</v>
      </c>
      <c r="J21" s="5">
        <f t="shared" ref="J21" si="7">SUM(J19:J20)</f>
        <v>304.5</v>
      </c>
      <c r="K21" s="5">
        <f t="shared" ref="K21" si="8">SUM(K19:K20)</f>
        <v>0</v>
      </c>
      <c r="L21" s="5">
        <f t="shared" ref="L21" si="9">SUM(L19:L20)</f>
        <v>920</v>
      </c>
      <c r="M21" s="5">
        <f t="shared" ref="M21" si="10">SUM(M19:M20)</f>
        <v>0</v>
      </c>
      <c r="N21" s="5">
        <f t="shared" ref="N21" si="11">SUM(N19:N20)</f>
        <v>0</v>
      </c>
      <c r="O21" s="5">
        <f t="shared" ref="O21" si="12">SUM(O19:O20)</f>
        <v>30</v>
      </c>
      <c r="P21" s="5">
        <f t="shared" ref="P21" si="13">SUM(P19:P20)</f>
        <v>0</v>
      </c>
      <c r="R21" s="5">
        <f>SUM(R19:R20)</f>
        <v>9</v>
      </c>
    </row>
    <row r="22" spans="2:21" x14ac:dyDescent="0.35">
      <c r="B22" s="239" t="s">
        <v>851</v>
      </c>
      <c r="C22" s="239"/>
      <c r="E22" s="95">
        <f>Rates!$C$6*E21</f>
        <v>0</v>
      </c>
      <c r="F22" s="95">
        <f>Rates!$C$7*F21</f>
        <v>65714.28571428571</v>
      </c>
      <c r="G22" s="95">
        <f>Rates!$C$8*G21</f>
        <v>95000</v>
      </c>
      <c r="H22" s="95">
        <f>Rates!$C$9*H21</f>
        <v>0</v>
      </c>
      <c r="I22" s="95">
        <f>Rates!$C$10*I21</f>
        <v>0</v>
      </c>
      <c r="J22" s="95">
        <f>Rates!$C$13*J21</f>
        <v>10657.5</v>
      </c>
      <c r="K22" s="95">
        <f>Rates!$C$16*K21</f>
        <v>0</v>
      </c>
      <c r="L22" s="95">
        <f>Rates!$C$20*L21</f>
        <v>55200</v>
      </c>
      <c r="M22" s="95">
        <f>Rates!$C$26*M21</f>
        <v>0</v>
      </c>
      <c r="O22" s="95">
        <f>Rates!$C$34*O21</f>
        <v>201000</v>
      </c>
      <c r="Q22" s="95">
        <f>20*Rates!C44+8*Rates!C38+3600</f>
        <v>82600</v>
      </c>
      <c r="R22" s="95">
        <f>R21*Rates!$C$50</f>
        <v>20250</v>
      </c>
    </row>
    <row r="23" spans="2:21" x14ac:dyDescent="0.35">
      <c r="B23" s="240" t="s">
        <v>852</v>
      </c>
      <c r="C23" s="241"/>
      <c r="D23" s="146"/>
      <c r="E23" s="149"/>
      <c r="F23" s="146"/>
      <c r="G23" s="146"/>
      <c r="H23" s="146"/>
      <c r="I23" s="146"/>
      <c r="J23" s="146"/>
      <c r="K23" s="146"/>
      <c r="L23" s="149"/>
      <c r="M23" s="147">
        <f>SUM(E22:M22)</f>
        <v>226571.78571428571</v>
      </c>
    </row>
    <row r="24" spans="2:21" x14ac:dyDescent="0.35">
      <c r="B24" s="237" t="s">
        <v>284</v>
      </c>
      <c r="C24" s="238"/>
      <c r="D24" s="86"/>
      <c r="E24" s="148"/>
      <c r="F24" s="86"/>
      <c r="G24" s="86"/>
      <c r="H24" s="86"/>
      <c r="I24" s="86"/>
      <c r="J24" s="86"/>
      <c r="K24" s="86"/>
      <c r="L24" s="148"/>
      <c r="M24" s="86"/>
      <c r="N24" s="86"/>
      <c r="O24" s="86"/>
      <c r="P24" s="86"/>
      <c r="Q24" s="86"/>
      <c r="R24" s="86"/>
      <c r="S24" s="86"/>
      <c r="T24" s="150">
        <f>SUM(N22:T22)</f>
        <v>303850</v>
      </c>
    </row>
    <row r="25" spans="2:21" x14ac:dyDescent="0.35">
      <c r="B25" s="42"/>
      <c r="C25" s="42"/>
      <c r="E25" s="95"/>
      <c r="L25" s="95"/>
      <c r="T25" s="144"/>
    </row>
    <row r="26" spans="2:21" x14ac:dyDescent="0.35">
      <c r="B26" s="10" t="str">
        <f>Assessments!A91</f>
        <v>Countess Range Track &amp; Hut - Easy Tramping Track &amp; 40 Bed hut - OPTION 2</v>
      </c>
    </row>
    <row r="27" spans="2:21" x14ac:dyDescent="0.35">
      <c r="B27" s="79" t="s">
        <v>834</v>
      </c>
      <c r="C27" s="80" t="s">
        <v>835</v>
      </c>
      <c r="D27" s="80" t="s">
        <v>836</v>
      </c>
      <c r="E27" s="233" t="s">
        <v>837</v>
      </c>
      <c r="F27" s="234"/>
      <c r="G27" s="234"/>
      <c r="H27" s="234"/>
      <c r="I27" s="235"/>
      <c r="J27" s="80" t="s">
        <v>677</v>
      </c>
      <c r="K27" s="80" t="s">
        <v>838</v>
      </c>
      <c r="L27" s="80" t="s">
        <v>839</v>
      </c>
      <c r="M27" s="80" t="s">
        <v>840</v>
      </c>
      <c r="N27" s="80" t="s">
        <v>711</v>
      </c>
      <c r="O27" s="80" t="s">
        <v>707</v>
      </c>
      <c r="P27" s="81" t="s">
        <v>841</v>
      </c>
      <c r="Q27" s="81" t="s">
        <v>842</v>
      </c>
      <c r="R27" s="236" t="s">
        <v>843</v>
      </c>
      <c r="S27" s="236"/>
      <c r="T27" s="236"/>
      <c r="U27" s="79" t="s">
        <v>844</v>
      </c>
    </row>
    <row r="28" spans="2:21" x14ac:dyDescent="0.35">
      <c r="B28" s="42"/>
      <c r="C28" s="82"/>
      <c r="E28" s="80" t="s">
        <v>666</v>
      </c>
      <c r="F28" s="80" t="s">
        <v>668</v>
      </c>
      <c r="G28" s="80" t="s">
        <v>670</v>
      </c>
      <c r="H28" s="80" t="s">
        <v>845</v>
      </c>
      <c r="I28" s="80" t="s">
        <v>846</v>
      </c>
      <c r="J28" s="82"/>
      <c r="K28" s="82"/>
      <c r="L28" s="82"/>
      <c r="M28" s="82"/>
      <c r="N28" s="82"/>
      <c r="O28" s="82"/>
      <c r="P28" s="82"/>
      <c r="Q28" s="82"/>
      <c r="R28" s="80">
        <v>750</v>
      </c>
      <c r="S28" s="80" t="s">
        <v>738</v>
      </c>
      <c r="T28" s="80" t="s">
        <v>739</v>
      </c>
    </row>
    <row r="29" spans="2:21" x14ac:dyDescent="0.35">
      <c r="B29" s="2">
        <v>0</v>
      </c>
      <c r="C29" s="2">
        <v>0</v>
      </c>
      <c r="D29" s="5">
        <f>C29-B29</f>
        <v>0</v>
      </c>
      <c r="F29" s="5" t="s">
        <v>68</v>
      </c>
      <c r="G29" s="2">
        <f>45+80+160+90+115+50+230+30+125+35+35+370+50+270+75+45+480+370+105+70+195+55+130+3050+120+70+460+115</f>
        <v>7025</v>
      </c>
      <c r="L29" s="2" t="s">
        <v>68</v>
      </c>
      <c r="M29" s="2" t="s">
        <v>68</v>
      </c>
      <c r="O29" s="2" t="s">
        <v>68</v>
      </c>
      <c r="U29" s="1" t="s">
        <v>855</v>
      </c>
    </row>
    <row r="30" spans="2:21" x14ac:dyDescent="0.35">
      <c r="B30" s="2">
        <v>0</v>
      </c>
      <c r="C30" s="2">
        <v>0</v>
      </c>
      <c r="D30" s="5">
        <f t="shared" ref="D30" si="14">C30-B30</f>
        <v>0</v>
      </c>
      <c r="F30" s="2">
        <f>11000-7025+500+500</f>
        <v>4975</v>
      </c>
      <c r="O30" s="5" t="s">
        <v>68</v>
      </c>
      <c r="U30" s="1" t="s">
        <v>856</v>
      </c>
    </row>
    <row r="31" spans="2:21" x14ac:dyDescent="0.35">
      <c r="B31" s="2">
        <v>150</v>
      </c>
      <c r="D31" s="5"/>
      <c r="O31" s="5">
        <v>12</v>
      </c>
    </row>
    <row r="32" spans="2:21" x14ac:dyDescent="0.35">
      <c r="B32" s="2">
        <v>1350</v>
      </c>
      <c r="D32" s="5"/>
      <c r="O32" s="5">
        <v>6</v>
      </c>
    </row>
    <row r="33" spans="2:21" x14ac:dyDescent="0.35">
      <c r="B33" s="2">
        <v>1650</v>
      </c>
      <c r="D33" s="5"/>
      <c r="O33" s="5">
        <v>10</v>
      </c>
    </row>
    <row r="34" spans="2:21" x14ac:dyDescent="0.35">
      <c r="B34" s="2">
        <v>2150</v>
      </c>
      <c r="D34" s="5"/>
      <c r="O34" s="5">
        <v>10</v>
      </c>
    </row>
    <row r="35" spans="2:21" x14ac:dyDescent="0.35">
      <c r="B35" s="2">
        <v>2250</v>
      </c>
      <c r="D35" s="5"/>
      <c r="O35" s="5">
        <v>15</v>
      </c>
    </row>
    <row r="36" spans="2:21" x14ac:dyDescent="0.35">
      <c r="B36" s="2">
        <v>3320</v>
      </c>
      <c r="D36" s="5"/>
      <c r="O36" s="5"/>
      <c r="P36" s="2">
        <v>20</v>
      </c>
    </row>
    <row r="37" spans="2:21" x14ac:dyDescent="0.35">
      <c r="B37" s="2">
        <v>3600</v>
      </c>
      <c r="D37" s="5"/>
      <c r="O37" s="5"/>
      <c r="P37" s="2">
        <v>15</v>
      </c>
    </row>
    <row r="38" spans="2:21" x14ac:dyDescent="0.35">
      <c r="B38" s="2">
        <v>3900</v>
      </c>
      <c r="D38" s="5"/>
      <c r="O38" s="5"/>
      <c r="P38" s="2">
        <v>90</v>
      </c>
    </row>
    <row r="39" spans="2:21" x14ac:dyDescent="0.35">
      <c r="B39" s="2">
        <v>4300</v>
      </c>
      <c r="D39" s="5"/>
      <c r="O39" s="5"/>
      <c r="Q39" s="2">
        <v>2</v>
      </c>
      <c r="U39" s="1" t="s">
        <v>857</v>
      </c>
    </row>
    <row r="40" spans="2:21" x14ac:dyDescent="0.35">
      <c r="B40" s="2">
        <v>5700</v>
      </c>
      <c r="D40" s="5"/>
      <c r="O40" s="5"/>
      <c r="P40" s="2">
        <v>40</v>
      </c>
    </row>
    <row r="41" spans="2:21" x14ac:dyDescent="0.35">
      <c r="B41" s="2">
        <v>5800</v>
      </c>
      <c r="D41" s="5"/>
      <c r="O41" s="5"/>
      <c r="Q41" s="2">
        <v>1</v>
      </c>
      <c r="U41" s="1" t="s">
        <v>858</v>
      </c>
    </row>
    <row r="42" spans="2:21" x14ac:dyDescent="0.35">
      <c r="B42" s="2">
        <v>6850</v>
      </c>
      <c r="D42" s="5"/>
      <c r="O42" s="5"/>
      <c r="Q42" s="2">
        <v>2</v>
      </c>
      <c r="U42" s="1" t="s">
        <v>857</v>
      </c>
    </row>
    <row r="43" spans="2:21" x14ac:dyDescent="0.35">
      <c r="B43" s="2">
        <v>10020</v>
      </c>
      <c r="D43" s="5"/>
      <c r="O43" s="5"/>
      <c r="P43" s="2">
        <v>10</v>
      </c>
    </row>
    <row r="44" spans="2:21" x14ac:dyDescent="0.35">
      <c r="D44" s="5"/>
      <c r="F44" s="2">
        <f>F30</f>
        <v>4975</v>
      </c>
      <c r="G44" s="2">
        <f>G29</f>
        <v>7025</v>
      </c>
      <c r="O44" s="5"/>
    </row>
    <row r="45" spans="2:21" x14ac:dyDescent="0.35">
      <c r="D45" s="5"/>
      <c r="F45" s="2" t="s">
        <v>68</v>
      </c>
      <c r="G45" s="2">
        <f>F44+G44</f>
        <v>12000</v>
      </c>
      <c r="O45" s="5"/>
    </row>
    <row r="46" spans="2:21" x14ac:dyDescent="0.35">
      <c r="B46" s="239" t="s">
        <v>849</v>
      </c>
      <c r="C46" s="239"/>
      <c r="D46" s="5">
        <f>SUM(D44:D45)</f>
        <v>0</v>
      </c>
      <c r="E46" s="5">
        <f t="shared" ref="E46" si="15">SUM(E44:E45)</f>
        <v>0</v>
      </c>
      <c r="F46" s="5">
        <f t="shared" ref="F46" si="16">SUM(F44:F45)</f>
        <v>4975</v>
      </c>
      <c r="G46" s="5">
        <f>G44</f>
        <v>7025</v>
      </c>
      <c r="H46" s="5">
        <f t="shared" ref="H46" si="17">SUM(H44:H45)</f>
        <v>0</v>
      </c>
      <c r="I46" s="5">
        <f t="shared" ref="I46" si="18">SUM(I44:I45)</f>
        <v>0</v>
      </c>
      <c r="J46" s="5">
        <f t="shared" ref="J46" si="19">SUM(J44:J45)</f>
        <v>0</v>
      </c>
      <c r="K46" s="5">
        <f t="shared" ref="K46" si="20">SUM(K44:K45)</f>
        <v>0</v>
      </c>
      <c r="L46" s="5">
        <f t="shared" ref="L46" si="21">SUM(L44:L45)</f>
        <v>0</v>
      </c>
      <c r="M46" s="5">
        <f t="shared" ref="M46" si="22">SUM(M44:M45)</f>
        <v>0</v>
      </c>
      <c r="N46" s="5">
        <f t="shared" ref="N46" si="23">SUM(N44:N45)</f>
        <v>0</v>
      </c>
      <c r="O46" s="5">
        <f>SUM(O31:O45)</f>
        <v>53</v>
      </c>
      <c r="P46" s="5">
        <f>SUM(P36:P45)</f>
        <v>175</v>
      </c>
      <c r="R46" s="5">
        <f>SUM(R42:R45)</f>
        <v>0</v>
      </c>
    </row>
    <row r="47" spans="2:21" x14ac:dyDescent="0.35">
      <c r="B47" s="239" t="s">
        <v>851</v>
      </c>
      <c r="C47" s="239"/>
      <c r="E47" s="95">
        <f>Rates!$C$6*E46</f>
        <v>0</v>
      </c>
      <c r="F47" s="95">
        <f>Rates!$C$7*F46</f>
        <v>355357.14285714284</v>
      </c>
      <c r="G47" s="95">
        <f>Rates!$C$8*G46</f>
        <v>1756250</v>
      </c>
      <c r="H47" s="95">
        <f>Rates!$C$9*H46</f>
        <v>0</v>
      </c>
      <c r="I47" s="95">
        <f>Rates!$C$10*I46</f>
        <v>0</v>
      </c>
      <c r="J47" s="95">
        <f>Rates!$C$13*J46</f>
        <v>0</v>
      </c>
      <c r="K47" s="95">
        <f>Rates!$C$16*K46</f>
        <v>0</v>
      </c>
      <c r="L47" s="95">
        <f>Rates!$C$20*L46</f>
        <v>0</v>
      </c>
      <c r="M47" s="95">
        <f>Rates!$C$26*M46</f>
        <v>0</v>
      </c>
      <c r="O47" s="95">
        <f>Rates!$C$34*O46</f>
        <v>355100</v>
      </c>
      <c r="P47" s="95">
        <f>Rates!$C$35*P46</f>
        <v>306250</v>
      </c>
      <c r="Q47" s="95">
        <f>2*Rates!C41+2*Rates!C40</f>
        <v>73479.523809523816</v>
      </c>
      <c r="R47" s="95">
        <f>R46*Rates!$C$50</f>
        <v>0</v>
      </c>
    </row>
    <row r="48" spans="2:21" x14ac:dyDescent="0.35">
      <c r="B48" s="240" t="s">
        <v>852</v>
      </c>
      <c r="C48" s="241"/>
      <c r="D48" s="146"/>
      <c r="E48" s="149"/>
      <c r="F48" s="146"/>
      <c r="G48" s="146"/>
      <c r="H48" s="146"/>
      <c r="I48" s="146"/>
      <c r="J48" s="146"/>
      <c r="K48" s="146"/>
      <c r="L48" s="149"/>
      <c r="M48" s="147">
        <f>SUM(E47:M47)</f>
        <v>2111607.1428571427</v>
      </c>
    </row>
    <row r="49" spans="2:21" x14ac:dyDescent="0.35">
      <c r="B49" s="237" t="s">
        <v>284</v>
      </c>
      <c r="C49" s="238"/>
      <c r="D49" s="86"/>
      <c r="E49" s="148"/>
      <c r="F49" s="86"/>
      <c r="G49" s="86"/>
      <c r="H49" s="86"/>
      <c r="I49" s="86"/>
      <c r="J49" s="86"/>
      <c r="K49" s="86"/>
      <c r="L49" s="148"/>
      <c r="M49" s="86"/>
      <c r="N49" s="86"/>
      <c r="O49" s="86"/>
      <c r="P49" s="86"/>
      <c r="Q49" s="86"/>
      <c r="R49" s="86"/>
      <c r="S49" s="86"/>
      <c r="T49" s="150">
        <f>SUM(N47:T47)</f>
        <v>734829.52380952379</v>
      </c>
    </row>
    <row r="52" spans="2:21" x14ac:dyDescent="0.35">
      <c r="B52" s="10" t="str">
        <f>Assessments!A72</f>
        <v>Countess Range Track &amp; Hut - Advanced Tramping Track &amp; 20 Bed hut - OPTION 1</v>
      </c>
    </row>
    <row r="53" spans="2:21" x14ac:dyDescent="0.35">
      <c r="B53" s="79" t="s">
        <v>834</v>
      </c>
      <c r="C53" s="80" t="s">
        <v>835</v>
      </c>
      <c r="D53" s="80" t="s">
        <v>836</v>
      </c>
      <c r="E53" s="233" t="s">
        <v>837</v>
      </c>
      <c r="F53" s="234"/>
      <c r="G53" s="234"/>
      <c r="H53" s="234"/>
      <c r="I53" s="235"/>
      <c r="J53" s="80" t="s">
        <v>677</v>
      </c>
      <c r="K53" s="80" t="s">
        <v>838</v>
      </c>
      <c r="L53" s="80" t="s">
        <v>839</v>
      </c>
      <c r="M53" s="80" t="s">
        <v>840</v>
      </c>
      <c r="N53" s="80" t="s">
        <v>711</v>
      </c>
      <c r="O53" s="80" t="s">
        <v>707</v>
      </c>
      <c r="P53" s="81" t="s">
        <v>841</v>
      </c>
      <c r="Q53" s="81" t="s">
        <v>842</v>
      </c>
      <c r="R53" s="236" t="s">
        <v>843</v>
      </c>
      <c r="S53" s="236"/>
      <c r="T53" s="236"/>
      <c r="U53" s="79" t="s">
        <v>844</v>
      </c>
    </row>
    <row r="54" spans="2:21" x14ac:dyDescent="0.35">
      <c r="B54" s="42"/>
      <c r="C54" s="82"/>
      <c r="E54" s="80" t="s">
        <v>666</v>
      </c>
      <c r="F54" s="80" t="s">
        <v>668</v>
      </c>
      <c r="G54" s="80" t="s">
        <v>670</v>
      </c>
      <c r="H54" s="80" t="s">
        <v>845</v>
      </c>
      <c r="I54" s="80" t="s">
        <v>846</v>
      </c>
      <c r="J54" s="82"/>
      <c r="K54" s="82"/>
      <c r="L54" s="82"/>
      <c r="M54" s="82"/>
      <c r="N54" s="82"/>
      <c r="O54" s="82"/>
      <c r="P54" s="82"/>
      <c r="Q54" s="82"/>
      <c r="R54" s="80">
        <v>750</v>
      </c>
      <c r="S54" s="80" t="s">
        <v>738</v>
      </c>
      <c r="T54" s="80" t="s">
        <v>739</v>
      </c>
    </row>
    <row r="55" spans="2:21" x14ac:dyDescent="0.35">
      <c r="B55" s="2">
        <v>0</v>
      </c>
      <c r="C55" s="2">
        <v>11000</v>
      </c>
      <c r="D55" s="5">
        <f>C55-B55</f>
        <v>11000</v>
      </c>
      <c r="E55" s="5">
        <f>D55</f>
        <v>11000</v>
      </c>
      <c r="F55" s="5" t="s">
        <v>68</v>
      </c>
      <c r="G55" s="5" t="s">
        <v>68</v>
      </c>
      <c r="L55" s="2" t="s">
        <v>68</v>
      </c>
      <c r="M55" s="2" t="s">
        <v>68</v>
      </c>
      <c r="O55" s="2" t="s">
        <v>68</v>
      </c>
      <c r="U55" s="1" t="s">
        <v>859</v>
      </c>
    </row>
    <row r="56" spans="2:21" x14ac:dyDescent="0.35">
      <c r="B56" s="2">
        <v>150</v>
      </c>
      <c r="D56" s="5"/>
      <c r="E56" s="5"/>
      <c r="F56" s="5"/>
      <c r="G56" s="5"/>
      <c r="O56" s="2">
        <v>12</v>
      </c>
    </row>
    <row r="57" spans="2:21" x14ac:dyDescent="0.35">
      <c r="B57" s="2">
        <v>3900</v>
      </c>
      <c r="D57" s="5"/>
      <c r="E57" s="5"/>
      <c r="F57" s="5"/>
      <c r="G57" s="5"/>
      <c r="P57" s="2">
        <v>90</v>
      </c>
      <c r="U57" s="1" t="s">
        <v>860</v>
      </c>
    </row>
    <row r="58" spans="2:21" x14ac:dyDescent="0.35">
      <c r="B58" s="2">
        <v>5700</v>
      </c>
      <c r="D58" s="5"/>
      <c r="E58" s="5"/>
      <c r="F58" s="5"/>
      <c r="G58" s="5"/>
      <c r="P58" s="2">
        <v>40</v>
      </c>
      <c r="U58" s="1" t="s">
        <v>861</v>
      </c>
    </row>
    <row r="59" spans="2:21" x14ac:dyDescent="0.35">
      <c r="B59" s="2">
        <v>5800</v>
      </c>
      <c r="D59" s="5"/>
      <c r="E59" s="5"/>
      <c r="F59" s="5"/>
      <c r="G59" s="5"/>
      <c r="Q59" s="2">
        <v>1</v>
      </c>
      <c r="U59" s="1" t="s">
        <v>862</v>
      </c>
    </row>
    <row r="60" spans="2:21" x14ac:dyDescent="0.35">
      <c r="D60" s="5"/>
      <c r="E60" s="5"/>
      <c r="F60" s="5"/>
      <c r="G60" s="5"/>
    </row>
    <row r="61" spans="2:21" x14ac:dyDescent="0.35">
      <c r="B61" s="239" t="s">
        <v>849</v>
      </c>
      <c r="C61" s="239"/>
      <c r="D61" s="5">
        <f>SUM(D59:D60)</f>
        <v>0</v>
      </c>
      <c r="E61" s="5">
        <f>SUM(E55:E60)</f>
        <v>11000</v>
      </c>
      <c r="F61" s="5">
        <f t="shared" ref="F61" si="24">SUM(F59:F60)</f>
        <v>0</v>
      </c>
      <c r="G61" s="5">
        <f t="shared" ref="G61" si="25">SUM(G59:G60)</f>
        <v>0</v>
      </c>
      <c r="H61" s="5">
        <f t="shared" ref="H61" si="26">SUM(H59:H60)</f>
        <v>0</v>
      </c>
      <c r="I61" s="5">
        <f t="shared" ref="I61" si="27">SUM(I59:I60)</f>
        <v>0</v>
      </c>
      <c r="J61" s="5">
        <f t="shared" ref="J61" si="28">SUM(J59:J60)</f>
        <v>0</v>
      </c>
      <c r="K61" s="5">
        <f t="shared" ref="K61" si="29">SUM(K59:K60)</f>
        <v>0</v>
      </c>
      <c r="L61" s="5">
        <f t="shared" ref="L61" si="30">SUM(L59:L60)</f>
        <v>0</v>
      </c>
      <c r="M61" s="5">
        <f t="shared" ref="M61" si="31">SUM(M59:M60)</f>
        <v>0</v>
      </c>
      <c r="N61" s="5">
        <f t="shared" ref="N61" si="32">SUM(N59:N60)</f>
        <v>0</v>
      </c>
      <c r="O61" s="5">
        <f>SUM(O55:O60)</f>
        <v>12</v>
      </c>
      <c r="P61" s="5">
        <f>SUM(P57:P60)</f>
        <v>130</v>
      </c>
      <c r="R61" s="5">
        <f>SUM(R57:R60)</f>
        <v>0</v>
      </c>
    </row>
    <row r="62" spans="2:21" x14ac:dyDescent="0.35">
      <c r="B62" s="239" t="s">
        <v>851</v>
      </c>
      <c r="C62" s="239"/>
      <c r="E62" s="95">
        <f>Rates!$C$6*E61</f>
        <v>366666.66666666669</v>
      </c>
      <c r="F62" s="95">
        <f>Rates!$C$7*F61</f>
        <v>0</v>
      </c>
      <c r="G62" s="95">
        <f>Rates!$C$8*G61</f>
        <v>0</v>
      </c>
      <c r="H62" s="95">
        <f>Rates!$C$9*H61</f>
        <v>0</v>
      </c>
      <c r="I62" s="95">
        <f>Rates!$C$10*I61</f>
        <v>0</v>
      </c>
      <c r="J62" s="95">
        <f>Rates!$C$13*J61</f>
        <v>0</v>
      </c>
      <c r="K62" s="95">
        <f>Rates!$C$16*K61</f>
        <v>0</v>
      </c>
      <c r="L62" s="95">
        <f>Rates!$C$20*L61</f>
        <v>0</v>
      </c>
      <c r="M62" s="95">
        <f>Rates!$C$26*M61</f>
        <v>0</v>
      </c>
      <c r="O62" s="95">
        <f>Rates!$C$34*O61</f>
        <v>80400</v>
      </c>
      <c r="P62" s="95">
        <f>Rates!$C$35*P61</f>
        <v>227500</v>
      </c>
      <c r="Q62" s="95">
        <v>0</v>
      </c>
      <c r="R62" s="95">
        <f>R61*Rates!$C$50</f>
        <v>0</v>
      </c>
    </row>
    <row r="63" spans="2:21" x14ac:dyDescent="0.35">
      <c r="B63" s="240" t="s">
        <v>852</v>
      </c>
      <c r="C63" s="241"/>
      <c r="D63" s="146"/>
      <c r="E63" s="149"/>
      <c r="F63" s="146"/>
      <c r="G63" s="146"/>
      <c r="H63" s="146"/>
      <c r="I63" s="146"/>
      <c r="J63" s="146"/>
      <c r="K63" s="146"/>
      <c r="L63" s="149"/>
      <c r="M63" s="147">
        <f>SUM(E62:M62)</f>
        <v>366666.66666666669</v>
      </c>
    </row>
    <row r="64" spans="2:21" x14ac:dyDescent="0.35">
      <c r="B64" s="237" t="s">
        <v>284</v>
      </c>
      <c r="C64" s="238"/>
      <c r="D64" s="86"/>
      <c r="E64" s="148"/>
      <c r="F64" s="86"/>
      <c r="G64" s="86"/>
      <c r="H64" s="86"/>
      <c r="I64" s="86"/>
      <c r="J64" s="86"/>
      <c r="K64" s="86"/>
      <c r="L64" s="148"/>
      <c r="M64" s="86"/>
      <c r="N64" s="86"/>
      <c r="O64" s="86"/>
      <c r="P64" s="86"/>
      <c r="Q64" s="86"/>
      <c r="R64" s="86"/>
      <c r="S64" s="86"/>
      <c r="T64" s="150">
        <f>SUM(N62:T62)</f>
        <v>307900</v>
      </c>
    </row>
    <row r="65" spans="2:21" x14ac:dyDescent="0.35">
      <c r="B65" s="42"/>
      <c r="C65" s="42"/>
      <c r="E65" s="95"/>
      <c r="L65" s="95"/>
      <c r="T65" s="144"/>
    </row>
    <row r="66" spans="2:21" x14ac:dyDescent="0.35">
      <c r="B66" s="42"/>
      <c r="C66" s="42"/>
      <c r="E66" s="95"/>
      <c r="L66" s="95"/>
      <c r="T66" s="144"/>
    </row>
    <row r="67" spans="2:21" x14ac:dyDescent="0.35">
      <c r="B67" s="10" t="str">
        <f>Assessments!A142</f>
        <v>Lake Gunn Nature Walk upgrades</v>
      </c>
    </row>
    <row r="68" spans="2:21" x14ac:dyDescent="0.35">
      <c r="B68" s="79" t="s">
        <v>834</v>
      </c>
      <c r="C68" s="80" t="s">
        <v>835</v>
      </c>
      <c r="D68" s="80" t="s">
        <v>836</v>
      </c>
      <c r="E68" s="233" t="s">
        <v>837</v>
      </c>
      <c r="F68" s="234"/>
      <c r="G68" s="234"/>
      <c r="H68" s="234"/>
      <c r="I68" s="235"/>
      <c r="J68" s="80" t="s">
        <v>677</v>
      </c>
      <c r="K68" s="80" t="s">
        <v>838</v>
      </c>
      <c r="L68" s="80" t="s">
        <v>839</v>
      </c>
      <c r="M68" s="80" t="s">
        <v>840</v>
      </c>
      <c r="N68" s="80" t="s">
        <v>711</v>
      </c>
      <c r="O68" s="80" t="s">
        <v>707</v>
      </c>
      <c r="P68" s="81" t="s">
        <v>841</v>
      </c>
      <c r="Q68" s="81" t="s">
        <v>842</v>
      </c>
      <c r="R68" s="236" t="s">
        <v>843</v>
      </c>
      <c r="S68" s="236"/>
      <c r="T68" s="236"/>
    </row>
    <row r="69" spans="2:21" x14ac:dyDescent="0.35">
      <c r="B69" s="42"/>
      <c r="C69" s="82"/>
      <c r="E69" s="80" t="s">
        <v>666</v>
      </c>
      <c r="F69" s="80" t="s">
        <v>668</v>
      </c>
      <c r="G69" s="80" t="s">
        <v>670</v>
      </c>
      <c r="H69" s="80" t="s">
        <v>845</v>
      </c>
      <c r="I69" s="80" t="s">
        <v>846</v>
      </c>
      <c r="J69" s="82"/>
      <c r="K69" s="82"/>
      <c r="L69" s="82"/>
      <c r="M69" s="82"/>
      <c r="N69" s="82"/>
      <c r="O69" s="82"/>
      <c r="P69" s="82"/>
      <c r="Q69" s="82"/>
      <c r="R69" s="80">
        <v>750</v>
      </c>
      <c r="S69" s="80" t="s">
        <v>738</v>
      </c>
      <c r="T69" s="80" t="s">
        <v>739</v>
      </c>
    </row>
    <row r="70" spans="2:21" x14ac:dyDescent="0.35">
      <c r="B70" s="2">
        <v>0</v>
      </c>
      <c r="C70" s="2">
        <v>1400</v>
      </c>
      <c r="D70" s="5">
        <f>C70-B70</f>
        <v>1400</v>
      </c>
      <c r="E70" s="5">
        <f>D70</f>
        <v>1400</v>
      </c>
      <c r="F70" s="5" t="s">
        <v>68</v>
      </c>
      <c r="G70" s="5" t="s">
        <v>68</v>
      </c>
      <c r="L70" s="2" t="s">
        <v>68</v>
      </c>
      <c r="M70" s="2" t="s">
        <v>68</v>
      </c>
      <c r="O70" s="2" t="s">
        <v>68</v>
      </c>
    </row>
    <row r="71" spans="2:21" x14ac:dyDescent="0.35">
      <c r="B71" s="239" t="s">
        <v>849</v>
      </c>
      <c r="C71" s="239"/>
      <c r="D71" s="5">
        <f>SUM(D69:D70)</f>
        <v>1400</v>
      </c>
      <c r="E71" s="5">
        <f>E70</f>
        <v>1400</v>
      </c>
      <c r="F71" s="5">
        <f t="shared" ref="F71:N71" si="33">SUM(F69:F70)</f>
        <v>0</v>
      </c>
      <c r="G71" s="5">
        <f t="shared" si="33"/>
        <v>0</v>
      </c>
      <c r="H71" s="5">
        <f t="shared" si="33"/>
        <v>0</v>
      </c>
      <c r="I71" s="5">
        <f t="shared" si="33"/>
        <v>0</v>
      </c>
      <c r="J71" s="5">
        <f t="shared" si="33"/>
        <v>0</v>
      </c>
      <c r="K71" s="5">
        <f t="shared" si="33"/>
        <v>0</v>
      </c>
      <c r="L71" s="5">
        <f t="shared" si="33"/>
        <v>0</v>
      </c>
      <c r="M71" s="5">
        <f t="shared" si="33"/>
        <v>0</v>
      </c>
      <c r="N71" s="5">
        <f t="shared" si="33"/>
        <v>0</v>
      </c>
      <c r="O71" s="5">
        <f>SUM(O65:O70)</f>
        <v>0</v>
      </c>
      <c r="P71" s="5">
        <v>40</v>
      </c>
      <c r="R71" s="5">
        <f>SUM(R70)</f>
        <v>0</v>
      </c>
      <c r="U71" s="1" t="s">
        <v>863</v>
      </c>
    </row>
    <row r="72" spans="2:21" x14ac:dyDescent="0.35">
      <c r="B72" s="239" t="s">
        <v>851</v>
      </c>
      <c r="C72" s="239"/>
      <c r="E72" s="95">
        <f>Rates!$C$6*E71</f>
        <v>46666.666666666672</v>
      </c>
      <c r="F72" s="95">
        <f>Rates!$C$7*F71</f>
        <v>0</v>
      </c>
      <c r="G72" s="95">
        <f>Rates!$C$8*G71</f>
        <v>0</v>
      </c>
      <c r="H72" s="95">
        <f>Rates!$C$9*H71</f>
        <v>0</v>
      </c>
      <c r="I72" s="95">
        <f>Rates!$C$10*I71</f>
        <v>0</v>
      </c>
      <c r="J72" s="95">
        <f>Rates!$C$13*J71</f>
        <v>0</v>
      </c>
      <c r="K72" s="95">
        <f>Rates!$C$16*K71</f>
        <v>0</v>
      </c>
      <c r="L72" s="95">
        <f>Rates!$C$20*L71</f>
        <v>0</v>
      </c>
      <c r="M72" s="95">
        <f>Rates!$C$26*M71</f>
        <v>0</v>
      </c>
      <c r="O72" s="95">
        <f>Rates!$C$34*O71</f>
        <v>0</v>
      </c>
      <c r="P72" s="95">
        <f>Rates!$C$35*P71</f>
        <v>70000</v>
      </c>
      <c r="Q72" s="95">
        <v>0</v>
      </c>
      <c r="R72" s="95">
        <f>R71*Rates!$C$50</f>
        <v>0</v>
      </c>
    </row>
    <row r="73" spans="2:21" x14ac:dyDescent="0.35">
      <c r="B73" s="240" t="s">
        <v>852</v>
      </c>
      <c r="C73" s="241"/>
      <c r="D73" s="146"/>
      <c r="E73" s="149"/>
      <c r="F73" s="146"/>
      <c r="G73" s="146"/>
      <c r="H73" s="146"/>
      <c r="I73" s="146"/>
      <c r="J73" s="146"/>
      <c r="K73" s="146"/>
      <c r="L73" s="149"/>
      <c r="M73" s="147">
        <f>SUM(E72:M72)</f>
        <v>46666.666666666672</v>
      </c>
    </row>
    <row r="74" spans="2:21" x14ac:dyDescent="0.35">
      <c r="B74" s="237" t="s">
        <v>284</v>
      </c>
      <c r="C74" s="238"/>
      <c r="D74" s="86"/>
      <c r="E74" s="148"/>
      <c r="F74" s="86"/>
      <c r="G74" s="86"/>
      <c r="H74" s="86"/>
      <c r="I74" s="86"/>
      <c r="J74" s="86"/>
      <c r="K74" s="86"/>
      <c r="L74" s="148"/>
      <c r="M74" s="86"/>
      <c r="N74" s="86"/>
      <c r="O74" s="86"/>
      <c r="P74" s="86"/>
      <c r="Q74" s="86"/>
      <c r="R74" s="86"/>
      <c r="S74" s="86"/>
      <c r="T74" s="150">
        <f>SUM(N72:T72)</f>
        <v>70000</v>
      </c>
    </row>
    <row r="75" spans="2:21" x14ac:dyDescent="0.35">
      <c r="B75" s="42"/>
      <c r="C75" s="42"/>
      <c r="E75" s="95"/>
      <c r="L75" s="95"/>
      <c r="T75" s="144"/>
    </row>
    <row r="76" spans="2:21" x14ac:dyDescent="0.35">
      <c r="B76" s="10" t="str">
        <f>Assessments!A208</f>
        <v>Lake Marian Falls Track</v>
      </c>
    </row>
    <row r="77" spans="2:21" x14ac:dyDescent="0.35">
      <c r="B77" s="79" t="s">
        <v>834</v>
      </c>
      <c r="C77" s="80" t="s">
        <v>835</v>
      </c>
      <c r="D77" s="80" t="s">
        <v>836</v>
      </c>
      <c r="E77" s="233" t="s">
        <v>837</v>
      </c>
      <c r="F77" s="234"/>
      <c r="G77" s="234"/>
      <c r="H77" s="234"/>
      <c r="I77" s="235"/>
      <c r="J77" s="80" t="s">
        <v>677</v>
      </c>
      <c r="K77" s="80" t="s">
        <v>838</v>
      </c>
      <c r="L77" s="80" t="s">
        <v>839</v>
      </c>
      <c r="M77" s="80" t="s">
        <v>840</v>
      </c>
      <c r="N77" s="80" t="s">
        <v>711</v>
      </c>
      <c r="O77" s="80" t="s">
        <v>707</v>
      </c>
      <c r="P77" s="81" t="s">
        <v>841</v>
      </c>
      <c r="Q77" s="81" t="s">
        <v>842</v>
      </c>
      <c r="R77" s="236" t="s">
        <v>843</v>
      </c>
      <c r="S77" s="236"/>
      <c r="T77" s="236"/>
      <c r="U77" s="79" t="s">
        <v>844</v>
      </c>
    </row>
    <row r="78" spans="2:21" x14ac:dyDescent="0.35">
      <c r="B78" s="42"/>
      <c r="C78" s="82"/>
      <c r="E78" s="80" t="s">
        <v>666</v>
      </c>
      <c r="F78" s="80" t="s">
        <v>668</v>
      </c>
      <c r="G78" s="80" t="s">
        <v>670</v>
      </c>
      <c r="H78" s="80" t="s">
        <v>845</v>
      </c>
      <c r="I78" s="80" t="s">
        <v>846</v>
      </c>
      <c r="J78" s="82"/>
      <c r="K78" s="82"/>
      <c r="L78" s="82"/>
      <c r="M78" s="82"/>
      <c r="N78" s="82"/>
      <c r="O78" s="82"/>
      <c r="P78" s="82"/>
      <c r="Q78" s="82"/>
      <c r="R78" s="80">
        <v>750</v>
      </c>
      <c r="S78" s="80" t="s">
        <v>738</v>
      </c>
      <c r="T78" s="80" t="s">
        <v>739</v>
      </c>
    </row>
    <row r="79" spans="2:21" x14ac:dyDescent="0.35">
      <c r="B79" s="2">
        <v>0</v>
      </c>
      <c r="C79" s="2">
        <v>750</v>
      </c>
      <c r="D79" s="5">
        <f>C79-B79</f>
        <v>750</v>
      </c>
      <c r="F79" s="5" t="s">
        <v>68</v>
      </c>
      <c r="G79" s="5">
        <f>D79</f>
        <v>750</v>
      </c>
      <c r="L79" s="2">
        <v>200</v>
      </c>
      <c r="M79" s="2">
        <v>550</v>
      </c>
      <c r="O79" s="2">
        <f>10*2+5</f>
        <v>25</v>
      </c>
      <c r="U79" s="1" t="s">
        <v>864</v>
      </c>
    </row>
    <row r="80" spans="2:21" x14ac:dyDescent="0.35">
      <c r="B80" s="2">
        <v>0</v>
      </c>
      <c r="C80" s="2">
        <v>0</v>
      </c>
      <c r="D80" s="5">
        <f t="shared" ref="D80" si="34">C80-B80</f>
        <v>0</v>
      </c>
      <c r="O80" s="5" t="s">
        <v>68</v>
      </c>
      <c r="U80" s="1" t="s">
        <v>865</v>
      </c>
    </row>
    <row r="81" spans="2:21" x14ac:dyDescent="0.35">
      <c r="D81" s="5"/>
      <c r="O81" s="5"/>
    </row>
    <row r="82" spans="2:21" x14ac:dyDescent="0.35">
      <c r="B82" s="239" t="s">
        <v>849</v>
      </c>
      <c r="C82" s="239"/>
      <c r="D82" s="5">
        <f>SUM(D80:D81)</f>
        <v>0</v>
      </c>
      <c r="E82" s="5">
        <f>SUM(E76:E81)</f>
        <v>0</v>
      </c>
      <c r="F82" s="5">
        <f t="shared" ref="F82" si="35">SUM(F80:F81)</f>
        <v>0</v>
      </c>
      <c r="G82" s="5">
        <f>SUM(G79:G81)</f>
        <v>750</v>
      </c>
      <c r="H82" s="5">
        <f t="shared" ref="H82" si="36">SUM(H80:H81)</f>
        <v>0</v>
      </c>
      <c r="I82" s="5">
        <f t="shared" ref="I82" si="37">SUM(I80:I81)</f>
        <v>0</v>
      </c>
      <c r="J82" s="5">
        <f t="shared" ref="J82" si="38">SUM(J80:J81)</f>
        <v>0</v>
      </c>
      <c r="K82" s="5">
        <f t="shared" ref="K82" si="39">SUM(K80:K81)</f>
        <v>0</v>
      </c>
      <c r="L82" s="5">
        <f>SUM(L79:L81)</f>
        <v>200</v>
      </c>
      <c r="M82" s="5">
        <f>SUM(M79:M81)</f>
        <v>550</v>
      </c>
      <c r="N82" s="5">
        <f t="shared" ref="N82" si="40">SUM(N80:N81)</f>
        <v>0</v>
      </c>
      <c r="O82" s="5">
        <f>SUM(O79:O81)</f>
        <v>25</v>
      </c>
      <c r="P82" s="5">
        <f>SUM(P78:P81)</f>
        <v>0</v>
      </c>
      <c r="R82" s="5">
        <f>SUM(R79:R81)</f>
        <v>0</v>
      </c>
    </row>
    <row r="83" spans="2:21" x14ac:dyDescent="0.35">
      <c r="B83" s="239" t="s">
        <v>851</v>
      </c>
      <c r="C83" s="239"/>
      <c r="E83" s="95">
        <f>Rates!$C$6*E82</f>
        <v>0</v>
      </c>
      <c r="F83" s="95">
        <f>Rates!$C$7*F82</f>
        <v>0</v>
      </c>
      <c r="G83" s="95">
        <f>Rates!$C$8*G82</f>
        <v>187500</v>
      </c>
      <c r="H83" s="95">
        <f>Rates!$C$9*H82</f>
        <v>0</v>
      </c>
      <c r="I83" s="95">
        <f>Rates!$C$10*I82</f>
        <v>0</v>
      </c>
      <c r="J83" s="95">
        <f>Rates!$C$13*J82</f>
        <v>0</v>
      </c>
      <c r="K83" s="95">
        <f>Rates!$C$16*K82</f>
        <v>0</v>
      </c>
      <c r="L83" s="95">
        <f>Rates!$C$20*L82</f>
        <v>12000</v>
      </c>
      <c r="M83" s="95">
        <f>Rates!$C$26*M82</f>
        <v>59400</v>
      </c>
      <c r="O83" s="95">
        <f>Rates!$C$34*O82</f>
        <v>167500</v>
      </c>
      <c r="P83" s="95">
        <f>Rates!$C$35*P82</f>
        <v>0</v>
      </c>
      <c r="Q83" s="95">
        <v>0</v>
      </c>
      <c r="R83" s="95">
        <f>R82*Rates!$C$50</f>
        <v>0</v>
      </c>
    </row>
    <row r="84" spans="2:21" x14ac:dyDescent="0.35">
      <c r="B84" s="240" t="s">
        <v>852</v>
      </c>
      <c r="C84" s="241"/>
      <c r="D84" s="146"/>
      <c r="E84" s="149"/>
      <c r="F84" s="146"/>
      <c r="G84" s="146"/>
      <c r="H84" s="146"/>
      <c r="I84" s="146"/>
      <c r="J84" s="146"/>
      <c r="K84" s="146"/>
      <c r="L84" s="149"/>
      <c r="M84" s="147">
        <f>SUM(E83:M83)</f>
        <v>258900</v>
      </c>
    </row>
    <row r="85" spans="2:21" x14ac:dyDescent="0.35">
      <c r="B85" s="237" t="s">
        <v>284</v>
      </c>
      <c r="C85" s="238"/>
      <c r="D85" s="86"/>
      <c r="E85" s="148"/>
      <c r="F85" s="86"/>
      <c r="G85" s="86"/>
      <c r="H85" s="86"/>
      <c r="I85" s="86"/>
      <c r="J85" s="86"/>
      <c r="K85" s="86"/>
      <c r="L85" s="148"/>
      <c r="M85" s="86"/>
      <c r="N85" s="86"/>
      <c r="O85" s="86"/>
      <c r="P85" s="86"/>
      <c r="Q85" s="86"/>
      <c r="R85" s="86"/>
      <c r="S85" s="86"/>
      <c r="T85" s="150">
        <f>SUM(N83:T83)</f>
        <v>167500</v>
      </c>
    </row>
    <row r="88" spans="2:21" x14ac:dyDescent="0.35">
      <c r="B88" s="10" t="str">
        <f>Assessments!A224</f>
        <v>Lake Marian Track; upgrade</v>
      </c>
    </row>
    <row r="89" spans="2:21" x14ac:dyDescent="0.35">
      <c r="B89" s="79" t="s">
        <v>834</v>
      </c>
      <c r="C89" s="80" t="s">
        <v>835</v>
      </c>
      <c r="D89" s="80" t="s">
        <v>836</v>
      </c>
      <c r="E89" s="233" t="s">
        <v>837</v>
      </c>
      <c r="F89" s="234"/>
      <c r="G89" s="234"/>
      <c r="H89" s="234"/>
      <c r="I89" s="235"/>
      <c r="J89" s="80" t="s">
        <v>677</v>
      </c>
      <c r="K89" s="80" t="s">
        <v>838</v>
      </c>
      <c r="L89" s="80" t="s">
        <v>839</v>
      </c>
      <c r="M89" s="80" t="s">
        <v>840</v>
      </c>
      <c r="N89" s="80" t="s">
        <v>711</v>
      </c>
      <c r="O89" s="80" t="s">
        <v>707</v>
      </c>
      <c r="P89" s="81" t="s">
        <v>841</v>
      </c>
      <c r="Q89" s="81" t="s">
        <v>842</v>
      </c>
      <c r="R89" s="236" t="s">
        <v>843</v>
      </c>
      <c r="S89" s="236"/>
      <c r="T89" s="236"/>
      <c r="U89" s="79" t="s">
        <v>844</v>
      </c>
    </row>
    <row r="90" spans="2:21" x14ac:dyDescent="0.35">
      <c r="B90" s="42"/>
      <c r="C90" s="82"/>
      <c r="E90" s="80" t="s">
        <v>666</v>
      </c>
      <c r="F90" s="80" t="s">
        <v>668</v>
      </c>
      <c r="G90" s="80" t="s">
        <v>670</v>
      </c>
      <c r="H90" s="80" t="s">
        <v>845</v>
      </c>
      <c r="I90" s="80" t="s">
        <v>846</v>
      </c>
      <c r="J90" s="82"/>
      <c r="K90" s="82"/>
      <c r="L90" s="82"/>
      <c r="M90" s="82"/>
      <c r="N90" s="82"/>
      <c r="O90" s="82"/>
      <c r="P90" s="82"/>
      <c r="Q90" s="82"/>
      <c r="R90" s="80">
        <v>750</v>
      </c>
      <c r="S90" s="80" t="s">
        <v>738</v>
      </c>
      <c r="T90" s="80" t="s">
        <v>739</v>
      </c>
    </row>
    <row r="91" spans="2:21" x14ac:dyDescent="0.35">
      <c r="B91" s="2">
        <v>750</v>
      </c>
      <c r="C91" s="2">
        <v>870</v>
      </c>
      <c r="D91" s="5">
        <f>C91-B91</f>
        <v>120</v>
      </c>
      <c r="F91" s="5" t="s">
        <v>68</v>
      </c>
      <c r="G91" s="5">
        <f>D91</f>
        <v>120</v>
      </c>
      <c r="L91" s="2" t="s">
        <v>68</v>
      </c>
      <c r="M91" s="2" t="s">
        <v>68</v>
      </c>
      <c r="O91" s="2" t="s">
        <v>68</v>
      </c>
      <c r="U91" s="1" t="s">
        <v>866</v>
      </c>
    </row>
    <row r="92" spans="2:21" x14ac:dyDescent="0.35">
      <c r="B92" s="2">
        <f>C91</f>
        <v>870</v>
      </c>
      <c r="C92" s="2">
        <v>930</v>
      </c>
      <c r="D92" s="5">
        <f t="shared" ref="D92:D103" si="41">C92-B92</f>
        <v>60</v>
      </c>
      <c r="H92" s="5">
        <f>D92</f>
        <v>60</v>
      </c>
      <c r="O92" s="5" t="s">
        <v>68</v>
      </c>
      <c r="U92" s="1" t="s">
        <v>867</v>
      </c>
    </row>
    <row r="93" spans="2:21" x14ac:dyDescent="0.35">
      <c r="B93" s="2">
        <f t="shared" ref="B93:B103" si="42">C92</f>
        <v>930</v>
      </c>
      <c r="C93" s="2">
        <v>1000</v>
      </c>
      <c r="D93" s="5">
        <f t="shared" si="41"/>
        <v>70</v>
      </c>
      <c r="G93" s="5">
        <f>D93</f>
        <v>70</v>
      </c>
    </row>
    <row r="94" spans="2:21" x14ac:dyDescent="0.35">
      <c r="B94" s="2">
        <f t="shared" si="42"/>
        <v>1000</v>
      </c>
      <c r="C94" s="2">
        <v>1030</v>
      </c>
      <c r="D94" s="5">
        <f t="shared" si="41"/>
        <v>30</v>
      </c>
      <c r="H94" s="5">
        <f>D94</f>
        <v>30</v>
      </c>
      <c r="U94" s="1" t="s">
        <v>867</v>
      </c>
    </row>
    <row r="95" spans="2:21" x14ac:dyDescent="0.35">
      <c r="B95" s="2">
        <f t="shared" si="42"/>
        <v>1030</v>
      </c>
      <c r="C95" s="2">
        <v>1100</v>
      </c>
      <c r="D95" s="5">
        <f t="shared" si="41"/>
        <v>70</v>
      </c>
      <c r="G95" s="5">
        <f>D95</f>
        <v>70</v>
      </c>
      <c r="O95" s="2">
        <v>6</v>
      </c>
      <c r="U95" s="1" t="s">
        <v>868</v>
      </c>
    </row>
    <row r="96" spans="2:21" x14ac:dyDescent="0.35">
      <c r="B96" s="2">
        <f t="shared" si="42"/>
        <v>1100</v>
      </c>
      <c r="C96" s="2">
        <v>1150</v>
      </c>
      <c r="D96" s="5">
        <f t="shared" si="41"/>
        <v>50</v>
      </c>
      <c r="H96" s="5">
        <f>D96</f>
        <v>50</v>
      </c>
      <c r="U96" s="1" t="s">
        <v>867</v>
      </c>
    </row>
    <row r="97" spans="2:21" x14ac:dyDescent="0.35">
      <c r="B97" s="2">
        <f t="shared" si="42"/>
        <v>1150</v>
      </c>
      <c r="C97" s="2">
        <v>1800</v>
      </c>
      <c r="D97" s="5">
        <f t="shared" si="41"/>
        <v>650</v>
      </c>
      <c r="G97" s="5">
        <f>D97</f>
        <v>650</v>
      </c>
    </row>
    <row r="98" spans="2:21" x14ac:dyDescent="0.35">
      <c r="B98" s="2">
        <f t="shared" si="42"/>
        <v>1800</v>
      </c>
      <c r="C98" s="2">
        <v>1860</v>
      </c>
      <c r="D98" s="5">
        <f t="shared" si="41"/>
        <v>60</v>
      </c>
      <c r="H98" s="5">
        <f>D98</f>
        <v>60</v>
      </c>
      <c r="U98" s="1" t="s">
        <v>867</v>
      </c>
    </row>
    <row r="99" spans="2:21" x14ac:dyDescent="0.35">
      <c r="B99" s="2">
        <f t="shared" si="42"/>
        <v>1860</v>
      </c>
      <c r="C99" s="2">
        <v>2200</v>
      </c>
      <c r="D99" s="5">
        <f t="shared" si="41"/>
        <v>340</v>
      </c>
      <c r="G99" s="5">
        <f>D99</f>
        <v>340</v>
      </c>
    </row>
    <row r="100" spans="2:21" x14ac:dyDescent="0.35">
      <c r="B100" s="2">
        <f t="shared" si="42"/>
        <v>2200</v>
      </c>
      <c r="C100" s="2">
        <v>2480</v>
      </c>
      <c r="D100" s="5">
        <f t="shared" si="41"/>
        <v>280</v>
      </c>
      <c r="H100" s="5">
        <f>D100</f>
        <v>280</v>
      </c>
      <c r="U100" s="1" t="s">
        <v>867</v>
      </c>
    </row>
    <row r="101" spans="2:21" x14ac:dyDescent="0.35">
      <c r="B101" s="2">
        <f t="shared" si="42"/>
        <v>2480</v>
      </c>
      <c r="C101" s="2">
        <v>2850</v>
      </c>
      <c r="D101" s="5">
        <f t="shared" si="41"/>
        <v>370</v>
      </c>
      <c r="G101" s="5">
        <f>D101</f>
        <v>370</v>
      </c>
    </row>
    <row r="102" spans="2:21" x14ac:dyDescent="0.35">
      <c r="B102" s="2">
        <f t="shared" si="42"/>
        <v>2850</v>
      </c>
      <c r="C102" s="2">
        <v>2920</v>
      </c>
      <c r="D102" s="5">
        <f t="shared" si="41"/>
        <v>70</v>
      </c>
      <c r="H102" s="5">
        <f>D102</f>
        <v>70</v>
      </c>
      <c r="U102" s="1" t="s">
        <v>867</v>
      </c>
    </row>
    <row r="103" spans="2:21" x14ac:dyDescent="0.35">
      <c r="B103" s="2">
        <f t="shared" si="42"/>
        <v>2920</v>
      </c>
      <c r="C103" s="2">
        <v>3120</v>
      </c>
      <c r="D103" s="5">
        <f t="shared" si="41"/>
        <v>200</v>
      </c>
      <c r="G103" s="5">
        <f>D103</f>
        <v>200</v>
      </c>
      <c r="Q103" s="2">
        <v>1</v>
      </c>
      <c r="U103" s="1" t="s">
        <v>869</v>
      </c>
    </row>
    <row r="104" spans="2:21" x14ac:dyDescent="0.35">
      <c r="B104" s="239" t="s">
        <v>849</v>
      </c>
      <c r="C104" s="239"/>
      <c r="D104" s="5">
        <f>SUM(D91:D103)</f>
        <v>2370</v>
      </c>
      <c r="E104" s="5">
        <f>SUM(E98:E103)</f>
        <v>0</v>
      </c>
      <c r="F104" s="5">
        <f t="shared" ref="F104" si="43">SUM(F102:F103)</f>
        <v>0</v>
      </c>
      <c r="G104" s="5">
        <f>SUM(G91:G103)</f>
        <v>1820</v>
      </c>
      <c r="H104" s="5">
        <f>SUM(H91:H103)</f>
        <v>550</v>
      </c>
      <c r="I104" s="5">
        <f t="shared" ref="I104" si="44">SUM(I102:I103)</f>
        <v>0</v>
      </c>
      <c r="J104" s="5">
        <f t="shared" ref="J104" si="45">SUM(J102:J103)</f>
        <v>0</v>
      </c>
      <c r="K104" s="5">
        <f t="shared" ref="K104" si="46">SUM(K102:K103)</f>
        <v>0</v>
      </c>
      <c r="L104" s="5">
        <f>SUM(L101:L103)</f>
        <v>0</v>
      </c>
      <c r="M104" s="5">
        <f>SUM(M101:M103)</f>
        <v>0</v>
      </c>
      <c r="N104" s="5">
        <f t="shared" ref="N104" si="47">SUM(N102:N103)</f>
        <v>0</v>
      </c>
      <c r="O104" s="5">
        <f>SUM(O95:O103)</f>
        <v>6</v>
      </c>
      <c r="P104" s="5">
        <v>20</v>
      </c>
      <c r="R104" s="5">
        <f>SUM(R100:R103)</f>
        <v>0</v>
      </c>
    </row>
    <row r="105" spans="2:21" x14ac:dyDescent="0.35">
      <c r="B105" s="239" t="s">
        <v>851</v>
      </c>
      <c r="C105" s="239"/>
      <c r="E105" s="95">
        <f>Rates!$C$6*E104</f>
        <v>0</v>
      </c>
      <c r="F105" s="95">
        <f>Rates!$C$7*F104</f>
        <v>0</v>
      </c>
      <c r="G105" s="95">
        <f>Rates!$C$8*G104</f>
        <v>455000</v>
      </c>
      <c r="H105" s="95">
        <f>Rates!$C$9*H104</f>
        <v>275000</v>
      </c>
      <c r="I105" s="95">
        <f>Rates!$C$10*I104</f>
        <v>0</v>
      </c>
      <c r="J105" s="95">
        <f>Rates!$C$13*J104</f>
        <v>0</v>
      </c>
      <c r="K105" s="95">
        <f>Rates!$C$16*K104</f>
        <v>0</v>
      </c>
      <c r="L105" s="95">
        <f>Rates!$C$20*L104</f>
        <v>0</v>
      </c>
      <c r="M105" s="95">
        <f>Rates!$C$26*M104</f>
        <v>0</v>
      </c>
      <c r="O105" s="95">
        <f>Rates!$C$34*O104</f>
        <v>40200</v>
      </c>
      <c r="P105" s="95">
        <f>Rates!$C$35*P104</f>
        <v>35000</v>
      </c>
      <c r="Q105" s="95">
        <f>Rates!C40</f>
        <v>34045</v>
      </c>
      <c r="R105" s="95">
        <f>R104*Rates!$C$50</f>
        <v>0</v>
      </c>
    </row>
    <row r="106" spans="2:21" x14ac:dyDescent="0.35">
      <c r="B106" s="240" t="s">
        <v>852</v>
      </c>
      <c r="C106" s="241"/>
      <c r="D106" s="146"/>
      <c r="E106" s="149"/>
      <c r="F106" s="146"/>
      <c r="G106" s="146"/>
      <c r="H106" s="146"/>
      <c r="I106" s="146"/>
      <c r="J106" s="146"/>
      <c r="K106" s="146"/>
      <c r="L106" s="149"/>
      <c r="M106" s="147">
        <f>SUM(E105:M105)</f>
        <v>730000</v>
      </c>
    </row>
    <row r="107" spans="2:21" x14ac:dyDescent="0.35">
      <c r="B107" s="237" t="s">
        <v>284</v>
      </c>
      <c r="C107" s="238"/>
      <c r="D107" s="86"/>
      <c r="E107" s="148"/>
      <c r="F107" s="86"/>
      <c r="G107" s="86"/>
      <c r="H107" s="86"/>
      <c r="I107" s="86"/>
      <c r="J107" s="86"/>
      <c r="K107" s="86"/>
      <c r="L107" s="148"/>
      <c r="M107" s="86"/>
      <c r="N107" s="86"/>
      <c r="O107" s="86"/>
      <c r="P107" s="86"/>
      <c r="Q107" s="86"/>
      <c r="R107" s="86"/>
      <c r="S107" s="86"/>
      <c r="T107" s="150">
        <f>SUM(N105:T105)</f>
        <v>109245</v>
      </c>
    </row>
    <row r="108" spans="2:21" x14ac:dyDescent="0.35">
      <c r="D108" s="5"/>
      <c r="G108" s="5"/>
    </row>
    <row r="110" spans="2:21" x14ac:dyDescent="0.35">
      <c r="B110" s="10" t="str">
        <f>Assessments!A191</f>
        <v>Lake Marian Loop Track; True left of Marian Creek</v>
      </c>
    </row>
    <row r="111" spans="2:21" x14ac:dyDescent="0.35">
      <c r="B111" s="79" t="s">
        <v>834</v>
      </c>
      <c r="C111" s="80" t="s">
        <v>835</v>
      </c>
      <c r="D111" s="80" t="s">
        <v>836</v>
      </c>
      <c r="E111" s="233" t="s">
        <v>837</v>
      </c>
      <c r="F111" s="234"/>
      <c r="G111" s="234"/>
      <c r="H111" s="234"/>
      <c r="I111" s="235"/>
      <c r="J111" s="80" t="s">
        <v>677</v>
      </c>
      <c r="K111" s="80" t="s">
        <v>838</v>
      </c>
      <c r="L111" s="80" t="s">
        <v>839</v>
      </c>
      <c r="M111" s="80" t="s">
        <v>840</v>
      </c>
      <c r="N111" s="80" t="s">
        <v>711</v>
      </c>
      <c r="O111" s="80" t="s">
        <v>707</v>
      </c>
      <c r="P111" s="81" t="s">
        <v>841</v>
      </c>
      <c r="Q111" s="81" t="s">
        <v>842</v>
      </c>
      <c r="R111" s="236" t="s">
        <v>843</v>
      </c>
      <c r="S111" s="236"/>
      <c r="T111" s="236"/>
      <c r="U111" s="79" t="s">
        <v>844</v>
      </c>
    </row>
    <row r="112" spans="2:21" x14ac:dyDescent="0.35">
      <c r="B112" s="42"/>
      <c r="C112" s="82"/>
      <c r="E112" s="80" t="s">
        <v>666</v>
      </c>
      <c r="F112" s="80" t="s">
        <v>668</v>
      </c>
      <c r="G112" s="80" t="s">
        <v>670</v>
      </c>
      <c r="H112" s="80" t="s">
        <v>845</v>
      </c>
      <c r="I112" s="80" t="s">
        <v>846</v>
      </c>
      <c r="J112" s="82"/>
      <c r="K112" s="82"/>
      <c r="L112" s="82"/>
      <c r="M112" s="82"/>
      <c r="N112" s="82"/>
      <c r="O112" s="82"/>
      <c r="P112" s="82"/>
      <c r="Q112" s="82"/>
      <c r="R112" s="80">
        <v>750</v>
      </c>
      <c r="S112" s="80" t="s">
        <v>738</v>
      </c>
      <c r="T112" s="80" t="s">
        <v>739</v>
      </c>
    </row>
    <row r="113" spans="2:21" x14ac:dyDescent="0.35">
      <c r="B113" s="2">
        <v>0</v>
      </c>
      <c r="C113" s="2">
        <v>600</v>
      </c>
      <c r="D113" s="5">
        <f>C113-B113</f>
        <v>600</v>
      </c>
      <c r="F113" s="5" t="s">
        <v>68</v>
      </c>
      <c r="G113" s="5">
        <f>D113</f>
        <v>600</v>
      </c>
      <c r="L113" s="2" t="s">
        <v>68</v>
      </c>
      <c r="M113" s="2" t="s">
        <v>68</v>
      </c>
      <c r="O113" s="2" t="s">
        <v>68</v>
      </c>
      <c r="U113" s="1" t="s">
        <v>870</v>
      </c>
    </row>
    <row r="114" spans="2:21" x14ac:dyDescent="0.35">
      <c r="B114" s="2">
        <f>C113</f>
        <v>600</v>
      </c>
      <c r="C114" s="2">
        <v>700</v>
      </c>
      <c r="D114" s="5">
        <f t="shared" ref="D114:D125" si="48">C114-B114</f>
        <v>100</v>
      </c>
      <c r="H114" s="5">
        <f>D114</f>
        <v>100</v>
      </c>
      <c r="O114" s="5" t="s">
        <v>68</v>
      </c>
      <c r="U114" s="1" t="s">
        <v>68</v>
      </c>
    </row>
    <row r="115" spans="2:21" x14ac:dyDescent="0.35">
      <c r="B115" s="2">
        <f t="shared" ref="B115:B125" si="49">C114</f>
        <v>700</v>
      </c>
      <c r="C115" s="2">
        <v>900</v>
      </c>
      <c r="D115" s="5">
        <f t="shared" si="48"/>
        <v>200</v>
      </c>
      <c r="G115" s="5">
        <f>D115</f>
        <v>200</v>
      </c>
    </row>
    <row r="116" spans="2:21" x14ac:dyDescent="0.35">
      <c r="B116" s="2">
        <f t="shared" si="49"/>
        <v>900</v>
      </c>
      <c r="C116" s="2">
        <v>1200</v>
      </c>
      <c r="D116" s="5">
        <f t="shared" si="48"/>
        <v>300</v>
      </c>
      <c r="H116" s="5">
        <f>D116</f>
        <v>300</v>
      </c>
    </row>
    <row r="117" spans="2:21" x14ac:dyDescent="0.35">
      <c r="B117" s="2">
        <f t="shared" si="49"/>
        <v>1200</v>
      </c>
      <c r="C117" s="2">
        <v>1360</v>
      </c>
      <c r="D117" s="5">
        <f t="shared" si="48"/>
        <v>160</v>
      </c>
      <c r="G117" s="5">
        <f>D117</f>
        <v>160</v>
      </c>
    </row>
    <row r="118" spans="2:21" x14ac:dyDescent="0.35">
      <c r="B118" s="2">
        <f t="shared" si="49"/>
        <v>1360</v>
      </c>
      <c r="C118" s="2">
        <v>1600</v>
      </c>
      <c r="D118" s="5">
        <f t="shared" si="48"/>
        <v>240</v>
      </c>
      <c r="H118" s="5">
        <f>D118</f>
        <v>240</v>
      </c>
    </row>
    <row r="119" spans="2:21" x14ac:dyDescent="0.35">
      <c r="B119" s="2">
        <f t="shared" si="49"/>
        <v>1600</v>
      </c>
      <c r="C119" s="2">
        <v>1650</v>
      </c>
      <c r="D119" s="5">
        <f t="shared" si="48"/>
        <v>50</v>
      </c>
      <c r="G119" s="5">
        <f>D119</f>
        <v>50</v>
      </c>
    </row>
    <row r="120" spans="2:21" x14ac:dyDescent="0.35">
      <c r="B120" s="2">
        <f t="shared" si="49"/>
        <v>1650</v>
      </c>
      <c r="C120" s="2">
        <v>2000</v>
      </c>
      <c r="D120" s="5">
        <f t="shared" si="48"/>
        <v>350</v>
      </c>
      <c r="H120" s="5">
        <f>D120</f>
        <v>350</v>
      </c>
    </row>
    <row r="121" spans="2:21" x14ac:dyDescent="0.35">
      <c r="B121" s="2">
        <f t="shared" si="49"/>
        <v>2000</v>
      </c>
      <c r="C121" s="2">
        <v>2100</v>
      </c>
      <c r="D121" s="5">
        <f t="shared" si="48"/>
        <v>100</v>
      </c>
      <c r="G121" s="5">
        <f>D121</f>
        <v>100</v>
      </c>
    </row>
    <row r="122" spans="2:21" x14ac:dyDescent="0.35">
      <c r="B122" s="2">
        <f t="shared" si="49"/>
        <v>2100</v>
      </c>
      <c r="C122" s="2">
        <v>2250</v>
      </c>
      <c r="D122" s="5">
        <f t="shared" si="48"/>
        <v>150</v>
      </c>
      <c r="H122" s="5">
        <f>D122</f>
        <v>150</v>
      </c>
    </row>
    <row r="123" spans="2:21" x14ac:dyDescent="0.35">
      <c r="B123" s="2">
        <f t="shared" si="49"/>
        <v>2250</v>
      </c>
      <c r="C123" s="2">
        <v>2850</v>
      </c>
      <c r="D123" s="5">
        <f t="shared" si="48"/>
        <v>600</v>
      </c>
      <c r="G123" s="5">
        <f>D123</f>
        <v>600</v>
      </c>
    </row>
    <row r="124" spans="2:21" x14ac:dyDescent="0.35">
      <c r="B124" s="2">
        <f t="shared" si="49"/>
        <v>2850</v>
      </c>
      <c r="C124" s="2">
        <v>3100</v>
      </c>
      <c r="D124" s="5">
        <f t="shared" si="48"/>
        <v>250</v>
      </c>
      <c r="H124" s="5">
        <f>D124</f>
        <v>250</v>
      </c>
      <c r="O124" s="2">
        <v>40</v>
      </c>
      <c r="U124" s="1" t="s">
        <v>871</v>
      </c>
    </row>
    <row r="125" spans="2:21" x14ac:dyDescent="0.35">
      <c r="B125" s="2">
        <f t="shared" si="49"/>
        <v>3100</v>
      </c>
      <c r="C125" s="2">
        <v>3170</v>
      </c>
      <c r="D125" s="5">
        <f t="shared" si="48"/>
        <v>70</v>
      </c>
      <c r="G125" s="5">
        <f>D125</f>
        <v>70</v>
      </c>
      <c r="U125" s="1" t="s">
        <v>872</v>
      </c>
    </row>
    <row r="126" spans="2:21" x14ac:dyDescent="0.35">
      <c r="B126" s="239" t="s">
        <v>849</v>
      </c>
      <c r="C126" s="239"/>
      <c r="D126" s="5">
        <f>SUM(D113:D125)</f>
        <v>3170</v>
      </c>
      <c r="E126" s="5">
        <f>SUM(E120:E125)</f>
        <v>0</v>
      </c>
      <c r="F126" s="5">
        <f t="shared" ref="F126" si="50">SUM(F124:F125)</f>
        <v>0</v>
      </c>
      <c r="G126" s="5">
        <f>SUM(G113:G125)</f>
        <v>1780</v>
      </c>
      <c r="H126" s="5">
        <f>SUM(H113:H125)</f>
        <v>1390</v>
      </c>
      <c r="I126" s="5">
        <f t="shared" ref="I126" si="51">SUM(I124:I125)</f>
        <v>0</v>
      </c>
      <c r="J126" s="5">
        <f t="shared" ref="J126" si="52">SUM(J124:J125)</f>
        <v>0</v>
      </c>
      <c r="K126" s="5">
        <f t="shared" ref="K126" si="53">SUM(K124:K125)</f>
        <v>0</v>
      </c>
      <c r="L126" s="5">
        <f>SUM(L123:L125)</f>
        <v>0</v>
      </c>
      <c r="M126" s="5">
        <f>SUM(M123:M125)</f>
        <v>0</v>
      </c>
      <c r="N126" s="5">
        <f t="shared" ref="N126" si="54">SUM(N124:N125)</f>
        <v>0</v>
      </c>
      <c r="O126" s="5">
        <f>SUM(O117:O125)</f>
        <v>40</v>
      </c>
      <c r="P126" s="5">
        <v>20</v>
      </c>
      <c r="R126" s="5">
        <f>SUM(R122:R125)</f>
        <v>0</v>
      </c>
      <c r="U126" s="1" t="s">
        <v>873</v>
      </c>
    </row>
    <row r="127" spans="2:21" x14ac:dyDescent="0.35">
      <c r="B127" s="239" t="s">
        <v>851</v>
      </c>
      <c r="C127" s="239"/>
      <c r="E127" s="95">
        <f>Rates!$C$6*E126</f>
        <v>0</v>
      </c>
      <c r="F127" s="95">
        <f>Rates!$C$7*F126</f>
        <v>0</v>
      </c>
      <c r="G127" s="95">
        <f>Rates!$C$8*G126</f>
        <v>445000</v>
      </c>
      <c r="H127" s="95">
        <f>Rates!$C$9*H126</f>
        <v>695000</v>
      </c>
      <c r="I127" s="95">
        <f>Rates!$C$10*I126</f>
        <v>0</v>
      </c>
      <c r="J127" s="95">
        <f>Rates!$C$13*J126</f>
        <v>0</v>
      </c>
      <c r="K127" s="95">
        <f>Rates!$C$16*K126</f>
        <v>0</v>
      </c>
      <c r="L127" s="95">
        <f>Rates!$C$20*L126</f>
        <v>0</v>
      </c>
      <c r="M127" s="95">
        <f>Rates!$C$26*M126</f>
        <v>0</v>
      </c>
      <c r="O127" s="95">
        <f>Rates!$C$34*O126</f>
        <v>268000</v>
      </c>
      <c r="P127" s="95">
        <f>Rates!$C$35*P126</f>
        <v>35000</v>
      </c>
      <c r="Q127" s="95">
        <f>Rates!C62</f>
        <v>15000</v>
      </c>
      <c r="R127" s="95">
        <f>R126*Rates!$C$50</f>
        <v>0</v>
      </c>
    </row>
    <row r="128" spans="2:21" x14ac:dyDescent="0.35">
      <c r="B128" s="240" t="s">
        <v>852</v>
      </c>
      <c r="C128" s="241"/>
      <c r="D128" s="146"/>
      <c r="E128" s="149"/>
      <c r="F128" s="146"/>
      <c r="G128" s="146"/>
      <c r="H128" s="146"/>
      <c r="I128" s="146"/>
      <c r="J128" s="146"/>
      <c r="K128" s="146"/>
      <c r="L128" s="149"/>
      <c r="M128" s="147">
        <f>SUM(E127:M127)</f>
        <v>1140000</v>
      </c>
    </row>
    <row r="129" spans="2:21" x14ac:dyDescent="0.35">
      <c r="B129" s="237" t="s">
        <v>284</v>
      </c>
      <c r="C129" s="238"/>
      <c r="D129" s="86"/>
      <c r="E129" s="148"/>
      <c r="F129" s="86"/>
      <c r="G129" s="86"/>
      <c r="H129" s="86"/>
      <c r="I129" s="86"/>
      <c r="J129" s="86"/>
      <c r="K129" s="86"/>
      <c r="L129" s="148"/>
      <c r="M129" s="86"/>
      <c r="N129" s="86"/>
      <c r="O129" s="86"/>
      <c r="P129" s="86"/>
      <c r="Q129" s="86"/>
      <c r="R129" s="86"/>
      <c r="S129" s="86"/>
      <c r="T129" s="150">
        <f>SUM(N127:T127)</f>
        <v>318000</v>
      </c>
    </row>
    <row r="130" spans="2:21" x14ac:dyDescent="0.35">
      <c r="D130" s="5"/>
      <c r="G130" s="5"/>
    </row>
    <row r="131" spans="2:21" x14ac:dyDescent="0.35">
      <c r="D131" s="5"/>
      <c r="G131" s="5"/>
    </row>
    <row r="132" spans="2:21" x14ac:dyDescent="0.35">
      <c r="B132" s="10" t="str">
        <f>Assessments!A239</f>
        <v>Marian Falls Loop Track</v>
      </c>
    </row>
    <row r="133" spans="2:21" x14ac:dyDescent="0.35">
      <c r="B133" s="79" t="s">
        <v>834</v>
      </c>
      <c r="C133" s="80" t="s">
        <v>835</v>
      </c>
      <c r="D133" s="80" t="s">
        <v>836</v>
      </c>
      <c r="E133" s="233" t="s">
        <v>837</v>
      </c>
      <c r="F133" s="234"/>
      <c r="G133" s="234"/>
      <c r="H133" s="234"/>
      <c r="I133" s="235"/>
      <c r="J133" s="80" t="s">
        <v>677</v>
      </c>
      <c r="K133" s="80" t="s">
        <v>838</v>
      </c>
      <c r="L133" s="80" t="s">
        <v>839</v>
      </c>
      <c r="M133" s="80" t="s">
        <v>840</v>
      </c>
      <c r="N133" s="80" t="s">
        <v>711</v>
      </c>
      <c r="O133" s="80" t="s">
        <v>707</v>
      </c>
      <c r="P133" s="81" t="s">
        <v>841</v>
      </c>
      <c r="Q133" s="81" t="s">
        <v>842</v>
      </c>
      <c r="R133" s="236" t="s">
        <v>843</v>
      </c>
      <c r="S133" s="236"/>
      <c r="T133" s="236"/>
      <c r="U133" s="79" t="s">
        <v>844</v>
      </c>
    </row>
    <row r="134" spans="2:21" x14ac:dyDescent="0.35">
      <c r="B134" s="42"/>
      <c r="C134" s="82"/>
      <c r="E134" s="80" t="s">
        <v>666</v>
      </c>
      <c r="F134" s="80" t="s">
        <v>668</v>
      </c>
      <c r="G134" s="80" t="s">
        <v>670</v>
      </c>
      <c r="H134" s="80" t="s">
        <v>845</v>
      </c>
      <c r="I134" s="80" t="s">
        <v>846</v>
      </c>
      <c r="J134" s="82"/>
      <c r="K134" s="82"/>
      <c r="L134" s="82"/>
      <c r="M134" s="82"/>
      <c r="N134" s="82"/>
      <c r="O134" s="82"/>
      <c r="P134" s="82"/>
      <c r="Q134" s="82"/>
      <c r="R134" s="80">
        <v>750</v>
      </c>
      <c r="S134" s="80" t="s">
        <v>738</v>
      </c>
      <c r="T134" s="80" t="s">
        <v>739</v>
      </c>
    </row>
    <row r="135" spans="2:21" x14ac:dyDescent="0.35">
      <c r="B135" s="2">
        <v>0</v>
      </c>
      <c r="C135" s="2">
        <v>500</v>
      </c>
      <c r="D135" s="5">
        <f>C135-B135</f>
        <v>500</v>
      </c>
      <c r="F135" s="5" t="s">
        <v>68</v>
      </c>
      <c r="G135" s="5">
        <v>0</v>
      </c>
      <c r="H135" s="5">
        <f>D135</f>
        <v>500</v>
      </c>
      <c r="K135" s="5">
        <f>D135</f>
        <v>500</v>
      </c>
      <c r="L135" s="2" t="s">
        <v>68</v>
      </c>
      <c r="M135" s="2" t="s">
        <v>68</v>
      </c>
      <c r="O135" s="2" t="s">
        <v>68</v>
      </c>
      <c r="U135" s="1">
        <v>0</v>
      </c>
    </row>
    <row r="136" spans="2:21" x14ac:dyDescent="0.35">
      <c r="B136" s="2">
        <v>0</v>
      </c>
      <c r="C136" s="2">
        <v>0</v>
      </c>
      <c r="D136" s="5">
        <f t="shared" ref="D136" si="55">C136-B136</f>
        <v>0</v>
      </c>
      <c r="H136" s="5">
        <f>D136</f>
        <v>0</v>
      </c>
      <c r="O136" s="5" t="s">
        <v>68</v>
      </c>
      <c r="U136" s="1" t="s">
        <v>68</v>
      </c>
    </row>
    <row r="137" spans="2:21" x14ac:dyDescent="0.35">
      <c r="B137" s="239" t="s">
        <v>849</v>
      </c>
      <c r="C137" s="239"/>
      <c r="D137" s="5">
        <f>SUM(D135:D136)</f>
        <v>500</v>
      </c>
      <c r="E137" s="5">
        <f>SUM(E135:E136)</f>
        <v>0</v>
      </c>
      <c r="F137" s="5">
        <f t="shared" ref="F137" si="56">SUM(F135:F136)</f>
        <v>0</v>
      </c>
      <c r="G137" s="5">
        <f>SUM(G135:G136)</f>
        <v>0</v>
      </c>
      <c r="H137" s="5">
        <f>SUM(H135:H136)</f>
        <v>500</v>
      </c>
      <c r="I137" s="5">
        <f t="shared" ref="I137:K137" si="57">SUM(I135:I136)</f>
        <v>0</v>
      </c>
      <c r="J137" s="5">
        <f t="shared" si="57"/>
        <v>0</v>
      </c>
      <c r="K137" s="5">
        <f t="shared" si="57"/>
        <v>500</v>
      </c>
      <c r="L137" s="5">
        <f>SUM(L134:L136)</f>
        <v>0</v>
      </c>
      <c r="M137" s="5">
        <f>SUM(M134:M136)</f>
        <v>0</v>
      </c>
      <c r="N137" s="5">
        <f t="shared" ref="N137" si="58">SUM(N135:N136)</f>
        <v>0</v>
      </c>
      <c r="O137" s="5">
        <f>60+40</f>
        <v>100</v>
      </c>
      <c r="P137" s="5">
        <v>0</v>
      </c>
      <c r="R137" s="5">
        <f>SUM(R135:R136)</f>
        <v>0</v>
      </c>
      <c r="S137" s="5">
        <f t="shared" ref="S137:T137" si="59">SUM(S135:S136)</f>
        <v>0</v>
      </c>
      <c r="T137" s="5">
        <f t="shared" si="59"/>
        <v>0</v>
      </c>
      <c r="U137" s="1">
        <v>0</v>
      </c>
    </row>
    <row r="138" spans="2:21" x14ac:dyDescent="0.35">
      <c r="B138" s="239" t="s">
        <v>851</v>
      </c>
      <c r="C138" s="239"/>
      <c r="E138" s="95">
        <f>Rates!$C$6*E137</f>
        <v>0</v>
      </c>
      <c r="F138" s="95">
        <f>Rates!$C$7*F137</f>
        <v>0</v>
      </c>
      <c r="G138" s="95">
        <f>Rates!$C$8*G137</f>
        <v>0</v>
      </c>
      <c r="H138" s="95">
        <f>Rates!$C$8*H137</f>
        <v>125000</v>
      </c>
      <c r="I138" s="95">
        <f>Rates!$C$10*I137</f>
        <v>0</v>
      </c>
      <c r="J138" s="95">
        <f>Rates!$C$13*J137</f>
        <v>0</v>
      </c>
      <c r="K138" s="95">
        <f>Rates!$C$17*K137</f>
        <v>240000</v>
      </c>
      <c r="L138" s="95">
        <f>Rates!$C$20*L137</f>
        <v>0</v>
      </c>
      <c r="M138" s="95">
        <f>Rates!$C$26*M137</f>
        <v>0</v>
      </c>
      <c r="O138" s="95">
        <f>Rates!$C$34*O137</f>
        <v>670000</v>
      </c>
      <c r="P138" s="95">
        <f>Rates!$C$35*P137</f>
        <v>0</v>
      </c>
      <c r="Q138" s="95">
        <f>Rates!C73</f>
        <v>275</v>
      </c>
      <c r="R138" s="95">
        <f>R137*Rates!$C$50</f>
        <v>0</v>
      </c>
    </row>
    <row r="139" spans="2:21" x14ac:dyDescent="0.35">
      <c r="B139" s="240" t="s">
        <v>852</v>
      </c>
      <c r="C139" s="241"/>
      <c r="D139" s="146"/>
      <c r="E139" s="149"/>
      <c r="F139" s="146"/>
      <c r="G139" s="146"/>
      <c r="H139" s="146"/>
      <c r="I139" s="146"/>
      <c r="J139" s="146"/>
      <c r="K139" s="146"/>
      <c r="L139" s="149"/>
      <c r="M139" s="147">
        <f>SUM(E138:M138)</f>
        <v>365000</v>
      </c>
    </row>
    <row r="140" spans="2:21" x14ac:dyDescent="0.35">
      <c r="B140" s="237" t="s">
        <v>284</v>
      </c>
      <c r="C140" s="238"/>
      <c r="D140" s="86"/>
      <c r="E140" s="148"/>
      <c r="F140" s="86"/>
      <c r="G140" s="86"/>
      <c r="H140" s="86"/>
      <c r="I140" s="86"/>
      <c r="J140" s="86"/>
      <c r="K140" s="86"/>
      <c r="L140" s="148"/>
      <c r="M140" s="86"/>
      <c r="N140" s="86"/>
      <c r="O140" s="86"/>
      <c r="P140" s="86"/>
      <c r="Q140" s="86"/>
      <c r="R140" s="86"/>
      <c r="S140" s="86"/>
      <c r="T140" s="150">
        <f>SUM(N138:T138)</f>
        <v>670275</v>
      </c>
    </row>
    <row r="141" spans="2:21" x14ac:dyDescent="0.35">
      <c r="D141" s="5"/>
      <c r="G141" s="5"/>
    </row>
    <row r="142" spans="2:21" x14ac:dyDescent="0.35">
      <c r="D142" s="5"/>
      <c r="G142" s="5"/>
    </row>
    <row r="143" spans="2:21" x14ac:dyDescent="0.35">
      <c r="D143" s="5"/>
      <c r="G143" s="5"/>
    </row>
    <row r="145" spans="2:21" x14ac:dyDescent="0.35">
      <c r="B145" s="10" t="str">
        <f>Assessments!A258</f>
        <v>Covered Nature Trail</v>
      </c>
    </row>
    <row r="146" spans="2:21" x14ac:dyDescent="0.35">
      <c r="B146" s="79" t="s">
        <v>834</v>
      </c>
      <c r="C146" s="80" t="s">
        <v>835</v>
      </c>
      <c r="D146" s="80" t="s">
        <v>836</v>
      </c>
      <c r="E146" s="233" t="s">
        <v>837</v>
      </c>
      <c r="F146" s="234"/>
      <c r="G146" s="234"/>
      <c r="H146" s="234"/>
      <c r="I146" s="235"/>
      <c r="J146" s="80" t="s">
        <v>677</v>
      </c>
      <c r="K146" s="80" t="s">
        <v>838</v>
      </c>
      <c r="L146" s="80" t="s">
        <v>839</v>
      </c>
      <c r="M146" s="80" t="s">
        <v>840</v>
      </c>
      <c r="N146" s="80" t="s">
        <v>711</v>
      </c>
      <c r="O146" s="80" t="s">
        <v>707</v>
      </c>
      <c r="P146" s="81" t="s">
        <v>841</v>
      </c>
      <c r="Q146" s="81" t="s">
        <v>842</v>
      </c>
      <c r="R146" s="236" t="s">
        <v>843</v>
      </c>
      <c r="S146" s="236"/>
      <c r="T146" s="236"/>
      <c r="U146" s="79" t="s">
        <v>844</v>
      </c>
    </row>
    <row r="147" spans="2:21" x14ac:dyDescent="0.35">
      <c r="B147" s="42"/>
      <c r="C147" s="82"/>
      <c r="E147" s="80" t="s">
        <v>666</v>
      </c>
      <c r="F147" s="80" t="s">
        <v>668</v>
      </c>
      <c r="G147" s="80" t="s">
        <v>670</v>
      </c>
      <c r="H147" s="80" t="s">
        <v>845</v>
      </c>
      <c r="I147" s="80" t="s">
        <v>846</v>
      </c>
      <c r="J147" s="82"/>
      <c r="K147" s="82"/>
      <c r="L147" s="82"/>
      <c r="M147" s="82"/>
      <c r="N147" s="82"/>
      <c r="O147" s="82"/>
      <c r="P147" s="82"/>
      <c r="Q147" s="82"/>
      <c r="R147" s="80">
        <v>750</v>
      </c>
      <c r="S147" s="80" t="s">
        <v>738</v>
      </c>
      <c r="T147" s="80" t="s">
        <v>739</v>
      </c>
    </row>
    <row r="148" spans="2:21" x14ac:dyDescent="0.35">
      <c r="B148" s="2">
        <v>0</v>
      </c>
      <c r="C148" s="2">
        <v>335</v>
      </c>
      <c r="D148" s="5">
        <f>C148-B148</f>
        <v>335</v>
      </c>
      <c r="F148" s="5" t="s">
        <v>68</v>
      </c>
      <c r="G148" s="5">
        <f>D148</f>
        <v>335</v>
      </c>
      <c r="J148" s="2">
        <f>D148*0.15*2</f>
        <v>100.5</v>
      </c>
      <c r="L148" s="5">
        <f>D148</f>
        <v>335</v>
      </c>
      <c r="M148" s="2" t="s">
        <v>68</v>
      </c>
      <c r="O148" s="2" t="s">
        <v>68</v>
      </c>
      <c r="Q148" s="2">
        <v>2</v>
      </c>
      <c r="R148" s="2">
        <v>2</v>
      </c>
      <c r="U148" s="1" t="s">
        <v>874</v>
      </c>
    </row>
    <row r="149" spans="2:21" x14ac:dyDescent="0.35">
      <c r="B149" s="2">
        <v>0</v>
      </c>
      <c r="C149" s="2">
        <v>0</v>
      </c>
      <c r="D149" s="5">
        <f t="shared" ref="D149" si="60">C149-B149</f>
        <v>0</v>
      </c>
      <c r="O149" s="5" t="s">
        <v>68</v>
      </c>
      <c r="U149" s="1" t="s">
        <v>68</v>
      </c>
    </row>
    <row r="150" spans="2:21" x14ac:dyDescent="0.35">
      <c r="B150" s="239" t="s">
        <v>849</v>
      </c>
      <c r="C150" s="239"/>
      <c r="D150" s="5">
        <f>SUM(D148:D149)</f>
        <v>335</v>
      </c>
      <c r="E150" s="5">
        <f>SUM(E144:E149)</f>
        <v>0</v>
      </c>
      <c r="F150" s="5">
        <f t="shared" ref="F150" si="61">SUM(F148:F149)</f>
        <v>0</v>
      </c>
      <c r="G150" s="5">
        <f>SUM(G148:G149)</f>
        <v>335</v>
      </c>
      <c r="H150" s="5">
        <f>SUM(H148:H149)</f>
        <v>0</v>
      </c>
      <c r="I150" s="5">
        <f t="shared" ref="I150" si="62">SUM(I148:I149)</f>
        <v>0</v>
      </c>
      <c r="J150" s="5">
        <f t="shared" ref="J150" si="63">SUM(J148:J149)</f>
        <v>100.5</v>
      </c>
      <c r="K150" s="5">
        <f t="shared" ref="K150" si="64">SUM(K148:K149)</f>
        <v>0</v>
      </c>
      <c r="L150" s="5">
        <f>SUM(L147:L149)</f>
        <v>335</v>
      </c>
      <c r="M150" s="5">
        <f>SUM(M147:M149)</f>
        <v>0</v>
      </c>
      <c r="N150" s="5">
        <f t="shared" ref="N150" si="65">SUM(N148:N149)</f>
        <v>0</v>
      </c>
      <c r="O150" s="5">
        <f>SUM(O147:O149)</f>
        <v>0</v>
      </c>
      <c r="P150" s="5">
        <f>SUM(P146:P149)</f>
        <v>0</v>
      </c>
      <c r="R150" s="5">
        <f>SUM(R148:R149)</f>
        <v>2</v>
      </c>
    </row>
    <row r="151" spans="2:21" x14ac:dyDescent="0.35">
      <c r="B151" s="239" t="s">
        <v>851</v>
      </c>
      <c r="C151" s="239"/>
      <c r="E151" s="95">
        <f>Rates!$C$6*E150</f>
        <v>0</v>
      </c>
      <c r="F151" s="95">
        <f>Rates!$C$7*F150</f>
        <v>0</v>
      </c>
      <c r="G151" s="95">
        <f>Rates!$C$8*G150</f>
        <v>83750</v>
      </c>
      <c r="H151" s="95">
        <f>Rates!$C$9*H150</f>
        <v>0</v>
      </c>
      <c r="I151" s="95">
        <f>Rates!$C$10*I150</f>
        <v>0</v>
      </c>
      <c r="J151" s="95">
        <f>Rates!$C$13*J150</f>
        <v>3517.5</v>
      </c>
      <c r="K151" s="95">
        <f>Rates!$C$16*K150</f>
        <v>0</v>
      </c>
      <c r="L151" s="95">
        <f>Rates!$C$20*L150</f>
        <v>20100</v>
      </c>
      <c r="M151" s="95">
        <f>Rates!$C$26*M150</f>
        <v>0</v>
      </c>
      <c r="O151" s="95">
        <f>Rates!$C$34*O150</f>
        <v>0</v>
      </c>
      <c r="P151" s="95">
        <f>Rates!$C$35*P150</f>
        <v>0</v>
      </c>
      <c r="Q151" s="95">
        <f>15*2*Rates!C38+G148*Rates!C39</f>
        <v>969000</v>
      </c>
      <c r="R151" s="95">
        <f>R150*Rates!$C$50</f>
        <v>4500</v>
      </c>
    </row>
    <row r="152" spans="2:21" x14ac:dyDescent="0.35">
      <c r="B152" s="240" t="s">
        <v>852</v>
      </c>
      <c r="C152" s="241"/>
      <c r="D152" s="146"/>
      <c r="E152" s="149"/>
      <c r="F152" s="146"/>
      <c r="G152" s="146"/>
      <c r="H152" s="146"/>
      <c r="I152" s="146"/>
      <c r="J152" s="146"/>
      <c r="K152" s="146"/>
      <c r="L152" s="149"/>
      <c r="M152" s="147">
        <f>SUM(E151:M151)</f>
        <v>107367.5</v>
      </c>
    </row>
    <row r="153" spans="2:21" x14ac:dyDescent="0.35">
      <c r="B153" s="237" t="s">
        <v>284</v>
      </c>
      <c r="C153" s="238"/>
      <c r="D153" s="86"/>
      <c r="E153" s="148"/>
      <c r="F153" s="86"/>
      <c r="G153" s="86"/>
      <c r="H153" s="86"/>
      <c r="I153" s="86"/>
      <c r="J153" s="86"/>
      <c r="K153" s="86"/>
      <c r="L153" s="148"/>
      <c r="M153" s="86"/>
      <c r="N153" s="86"/>
      <c r="O153" s="86"/>
      <c r="P153" s="86"/>
      <c r="Q153" s="86"/>
      <c r="R153" s="86"/>
      <c r="S153" s="86"/>
      <c r="T153" s="150">
        <f>SUM(N151:T151)</f>
        <v>973500</v>
      </c>
    </row>
    <row r="154" spans="2:21" x14ac:dyDescent="0.35">
      <c r="B154" s="42"/>
      <c r="C154" s="42"/>
      <c r="E154" s="95"/>
      <c r="L154" s="95"/>
      <c r="T154" s="144"/>
    </row>
    <row r="155" spans="2:21" x14ac:dyDescent="0.35">
      <c r="B155" s="10" t="str">
        <f>Assessments!A275</f>
        <v>Pass Creek Link Track</v>
      </c>
    </row>
    <row r="156" spans="2:21" x14ac:dyDescent="0.35">
      <c r="B156" s="79" t="s">
        <v>834</v>
      </c>
      <c r="C156" s="80" t="s">
        <v>835</v>
      </c>
      <c r="D156" s="80" t="s">
        <v>836</v>
      </c>
      <c r="E156" s="233" t="s">
        <v>837</v>
      </c>
      <c r="F156" s="234"/>
      <c r="G156" s="234"/>
      <c r="H156" s="234"/>
      <c r="I156" s="235"/>
      <c r="J156" s="80" t="s">
        <v>677</v>
      </c>
      <c r="K156" s="80" t="s">
        <v>838</v>
      </c>
      <c r="L156" s="80" t="s">
        <v>839</v>
      </c>
      <c r="M156" s="80" t="s">
        <v>840</v>
      </c>
      <c r="N156" s="80" t="s">
        <v>711</v>
      </c>
      <c r="O156" s="80" t="s">
        <v>707</v>
      </c>
      <c r="P156" s="81" t="s">
        <v>841</v>
      </c>
      <c r="Q156" s="81" t="s">
        <v>842</v>
      </c>
      <c r="R156" s="236" t="s">
        <v>843</v>
      </c>
      <c r="S156" s="236"/>
      <c r="T156" s="236"/>
      <c r="U156" s="79" t="s">
        <v>844</v>
      </c>
    </row>
    <row r="157" spans="2:21" x14ac:dyDescent="0.35">
      <c r="B157" s="42"/>
      <c r="C157" s="82"/>
      <c r="E157" s="80" t="s">
        <v>666</v>
      </c>
      <c r="F157" s="80" t="s">
        <v>668</v>
      </c>
      <c r="G157" s="80" t="s">
        <v>670</v>
      </c>
      <c r="H157" s="80" t="s">
        <v>845</v>
      </c>
      <c r="I157" s="80" t="s">
        <v>846</v>
      </c>
      <c r="J157" s="82"/>
      <c r="K157" s="82"/>
      <c r="L157" s="82"/>
      <c r="M157" s="82"/>
      <c r="N157" s="82"/>
      <c r="O157" s="82"/>
      <c r="P157" s="82"/>
      <c r="Q157" s="82"/>
      <c r="R157" s="80">
        <v>750</v>
      </c>
      <c r="S157" s="80" t="s">
        <v>738</v>
      </c>
      <c r="T157" s="80" t="s">
        <v>739</v>
      </c>
    </row>
    <row r="158" spans="2:21" x14ac:dyDescent="0.35">
      <c r="B158" s="2">
        <v>0</v>
      </c>
      <c r="C158" s="2">
        <v>1050</v>
      </c>
      <c r="D158" s="5">
        <f>C158-B158</f>
        <v>1050</v>
      </c>
      <c r="F158" s="5" t="s">
        <v>68</v>
      </c>
      <c r="G158" s="5">
        <f>D158</f>
        <v>1050</v>
      </c>
      <c r="L158" s="2" t="s">
        <v>68</v>
      </c>
      <c r="M158" s="2" t="s">
        <v>68</v>
      </c>
      <c r="O158" s="2">
        <v>18</v>
      </c>
      <c r="U158" s="1" t="s">
        <v>875</v>
      </c>
    </row>
    <row r="159" spans="2:21" x14ac:dyDescent="0.35">
      <c r="B159" s="2">
        <f>C158</f>
        <v>1050</v>
      </c>
      <c r="C159" s="2">
        <v>1200</v>
      </c>
      <c r="D159" s="5">
        <f t="shared" ref="D159:D162" si="66">C159-B159</f>
        <v>150</v>
      </c>
      <c r="G159" s="5">
        <f t="shared" ref="G159:G160" si="67">D159</f>
        <v>150</v>
      </c>
      <c r="J159" s="2">
        <f>30*3*1</f>
        <v>90</v>
      </c>
      <c r="N159" s="2">
        <v>30</v>
      </c>
      <c r="O159" s="5" t="s">
        <v>68</v>
      </c>
      <c r="Q159" s="2">
        <v>30</v>
      </c>
      <c r="U159" s="1" t="s">
        <v>876</v>
      </c>
    </row>
    <row r="160" spans="2:21" x14ac:dyDescent="0.35">
      <c r="B160" s="2">
        <f t="shared" ref="B160:B162" si="68">C159</f>
        <v>1200</v>
      </c>
      <c r="C160" s="2">
        <v>2500</v>
      </c>
      <c r="D160" s="5">
        <f t="shared" si="66"/>
        <v>1300</v>
      </c>
      <c r="G160" s="5">
        <f t="shared" si="67"/>
        <v>1300</v>
      </c>
    </row>
    <row r="161" spans="2:21" x14ac:dyDescent="0.35">
      <c r="B161" s="2">
        <f t="shared" si="68"/>
        <v>2500</v>
      </c>
      <c r="C161" s="2">
        <v>2850</v>
      </c>
      <c r="D161" s="5">
        <f t="shared" si="66"/>
        <v>350</v>
      </c>
      <c r="H161" s="5">
        <f>D161</f>
        <v>350</v>
      </c>
    </row>
    <row r="162" spans="2:21" x14ac:dyDescent="0.35">
      <c r="B162" s="2">
        <f t="shared" si="68"/>
        <v>2850</v>
      </c>
      <c r="C162" s="2">
        <v>3000</v>
      </c>
      <c r="D162" s="5">
        <f t="shared" si="66"/>
        <v>150</v>
      </c>
      <c r="G162" s="5">
        <f>D162</f>
        <v>150</v>
      </c>
    </row>
    <row r="163" spans="2:21" x14ac:dyDescent="0.35">
      <c r="B163" s="239" t="s">
        <v>849</v>
      </c>
      <c r="C163" s="239"/>
      <c r="D163" s="5">
        <f>SUM(D158:D162)</f>
        <v>3000</v>
      </c>
      <c r="E163" s="5">
        <f>SUM(E157:E162)</f>
        <v>0</v>
      </c>
      <c r="F163" s="5">
        <f t="shared" ref="F163" si="69">SUM(F161:F162)</f>
        <v>0</v>
      </c>
      <c r="G163" s="5">
        <f>SUM(G158:G162)</f>
        <v>2650</v>
      </c>
      <c r="H163" s="5">
        <f>SUM(H158:H162)</f>
        <v>350</v>
      </c>
      <c r="I163" s="5">
        <f t="shared" ref="I163" si="70">SUM(I161:I162)</f>
        <v>0</v>
      </c>
      <c r="J163" s="5">
        <f>SUM(J159:J162)</f>
        <v>90</v>
      </c>
      <c r="K163" s="5">
        <f t="shared" ref="K163" si="71">SUM(K161:K162)</f>
        <v>0</v>
      </c>
      <c r="L163" s="5">
        <f>SUM(L160:L162)</f>
        <v>0</v>
      </c>
      <c r="M163" s="5">
        <f>SUM(M160:M162)</f>
        <v>0</v>
      </c>
      <c r="N163" s="5">
        <f>SUM(N159:N162)</f>
        <v>30</v>
      </c>
      <c r="O163" s="5">
        <f>SUM(O158:O162)</f>
        <v>18</v>
      </c>
      <c r="P163" s="5">
        <f>SUM(P159:P162)</f>
        <v>0</v>
      </c>
      <c r="R163" s="5">
        <f>SUM(R159:R162)</f>
        <v>0</v>
      </c>
      <c r="S163" s="2">
        <v>5</v>
      </c>
    </row>
    <row r="164" spans="2:21" x14ac:dyDescent="0.35">
      <c r="B164" s="239" t="s">
        <v>851</v>
      </c>
      <c r="C164" s="239"/>
      <c r="E164" s="95">
        <f>Rates!$C$6*E163</f>
        <v>0</v>
      </c>
      <c r="F164" s="95">
        <f>Rates!$C$7*F163</f>
        <v>0</v>
      </c>
      <c r="G164" s="95">
        <f>Rates!$C$8*G163</f>
        <v>662500</v>
      </c>
      <c r="H164" s="95">
        <f>Rates!$C$9*H163</f>
        <v>175000</v>
      </c>
      <c r="I164" s="95">
        <f>Rates!$C$10*I163</f>
        <v>0</v>
      </c>
      <c r="J164" s="95">
        <f>Rates!$C$13*J163</f>
        <v>3150</v>
      </c>
      <c r="K164" s="95">
        <f>Rates!$C$16*K163</f>
        <v>0</v>
      </c>
      <c r="L164" s="95">
        <f>Rates!$C$20*L163</f>
        <v>0</v>
      </c>
      <c r="M164" s="95">
        <f>Rates!$C$26*M163</f>
        <v>0</v>
      </c>
      <c r="O164" s="95">
        <f>Rates!$C$34*O163</f>
        <v>120600</v>
      </c>
      <c r="P164" s="95">
        <f>Rates!$C$35*P163</f>
        <v>0</v>
      </c>
      <c r="Q164" s="95">
        <f>30*(Rates!C36+Rates!C43*2)</f>
        <v>58500</v>
      </c>
      <c r="R164" s="95">
        <f>R163*Rates!$C$50</f>
        <v>0</v>
      </c>
      <c r="S164" s="95">
        <f>S163*Rates!C51</f>
        <v>17500</v>
      </c>
    </row>
    <row r="165" spans="2:21" x14ac:dyDescent="0.35">
      <c r="B165" s="240" t="s">
        <v>852</v>
      </c>
      <c r="C165" s="241"/>
      <c r="D165" s="146"/>
      <c r="E165" s="149"/>
      <c r="F165" s="146"/>
      <c r="G165" s="146"/>
      <c r="H165" s="146"/>
      <c r="I165" s="146"/>
      <c r="J165" s="146"/>
      <c r="K165" s="146"/>
      <c r="L165" s="149"/>
      <c r="M165" s="147">
        <f>SUM(E164:M164)</f>
        <v>840650</v>
      </c>
    </row>
    <row r="166" spans="2:21" x14ac:dyDescent="0.35">
      <c r="B166" s="237" t="s">
        <v>284</v>
      </c>
      <c r="C166" s="238"/>
      <c r="D166" s="86"/>
      <c r="E166" s="148"/>
      <c r="F166" s="86"/>
      <c r="G166" s="86"/>
      <c r="H166" s="86"/>
      <c r="I166" s="86"/>
      <c r="J166" s="86"/>
      <c r="K166" s="86"/>
      <c r="L166" s="148"/>
      <c r="M166" s="86"/>
      <c r="N166" s="86"/>
      <c r="O166" s="86"/>
      <c r="P166" s="86"/>
      <c r="Q166" s="86"/>
      <c r="R166" s="86"/>
      <c r="S166" s="86"/>
      <c r="T166" s="150">
        <f>SUM(N164:T164)</f>
        <v>196600</v>
      </c>
    </row>
    <row r="167" spans="2:21" x14ac:dyDescent="0.35">
      <c r="B167" s="42"/>
      <c r="C167" s="42"/>
      <c r="E167" s="95"/>
      <c r="L167" s="95"/>
      <c r="T167" s="144"/>
    </row>
    <row r="168" spans="2:21" x14ac:dyDescent="0.35">
      <c r="B168" s="10" t="str">
        <f>Assessments!A154</f>
        <v>Key Summit to Cascade Creek - Easy tramping track - OPTION 1</v>
      </c>
    </row>
    <row r="169" spans="2:21" x14ac:dyDescent="0.35">
      <c r="B169" s="79" t="s">
        <v>834</v>
      </c>
      <c r="C169" s="80" t="s">
        <v>835</v>
      </c>
      <c r="D169" s="80" t="s">
        <v>836</v>
      </c>
      <c r="E169" s="233" t="s">
        <v>837</v>
      </c>
      <c r="F169" s="234"/>
      <c r="G169" s="234"/>
      <c r="H169" s="234"/>
      <c r="I169" s="235"/>
      <c r="J169" s="80" t="s">
        <v>677</v>
      </c>
      <c r="K169" s="80" t="s">
        <v>838</v>
      </c>
      <c r="L169" s="80" t="s">
        <v>839</v>
      </c>
      <c r="M169" s="80" t="s">
        <v>840</v>
      </c>
      <c r="N169" s="80" t="s">
        <v>711</v>
      </c>
      <c r="O169" s="80" t="s">
        <v>707</v>
      </c>
      <c r="P169" s="81" t="s">
        <v>841</v>
      </c>
      <c r="Q169" s="81" t="s">
        <v>842</v>
      </c>
      <c r="R169" s="236" t="s">
        <v>843</v>
      </c>
      <c r="S169" s="236"/>
      <c r="T169" s="236"/>
      <c r="U169" s="79" t="s">
        <v>844</v>
      </c>
    </row>
    <row r="170" spans="2:21" x14ac:dyDescent="0.35">
      <c r="B170" s="42"/>
      <c r="C170" s="82"/>
      <c r="E170" s="80" t="s">
        <v>666</v>
      </c>
      <c r="F170" s="80" t="s">
        <v>668</v>
      </c>
      <c r="G170" s="80" t="s">
        <v>670</v>
      </c>
      <c r="H170" s="80" t="s">
        <v>845</v>
      </c>
      <c r="I170" s="80" t="s">
        <v>846</v>
      </c>
      <c r="J170" s="82"/>
      <c r="K170" s="82"/>
      <c r="L170" s="82"/>
      <c r="M170" s="82"/>
      <c r="N170" s="82"/>
      <c r="O170" s="82"/>
      <c r="P170" s="82"/>
      <c r="Q170" s="82"/>
      <c r="R170" s="80">
        <v>750</v>
      </c>
      <c r="S170" s="80" t="s">
        <v>738</v>
      </c>
      <c r="T170" s="80" t="s">
        <v>739</v>
      </c>
    </row>
    <row r="171" spans="2:21" x14ac:dyDescent="0.35">
      <c r="B171" s="2">
        <v>0</v>
      </c>
      <c r="C171" s="2">
        <v>5820</v>
      </c>
      <c r="D171" s="5">
        <f>C171-B171</f>
        <v>5820</v>
      </c>
      <c r="F171" s="5" t="s">
        <v>68</v>
      </c>
      <c r="G171" s="5" t="s">
        <v>68</v>
      </c>
      <c r="I171" s="5">
        <f>D171</f>
        <v>5820</v>
      </c>
      <c r="L171" s="2" t="s">
        <v>68</v>
      </c>
      <c r="M171" s="2" t="s">
        <v>68</v>
      </c>
      <c r="O171" s="2" t="s">
        <v>68</v>
      </c>
      <c r="P171" s="2">
        <v>50</v>
      </c>
      <c r="U171" s="1" t="s">
        <v>877</v>
      </c>
    </row>
    <row r="172" spans="2:21" x14ac:dyDescent="0.35">
      <c r="D172" s="5"/>
      <c r="F172" s="5"/>
      <c r="G172" s="5"/>
      <c r="I172" s="5"/>
    </row>
    <row r="173" spans="2:21" x14ac:dyDescent="0.35">
      <c r="B173" s="2">
        <v>0</v>
      </c>
      <c r="C173" s="2">
        <v>7230</v>
      </c>
      <c r="D173" s="5">
        <f t="shared" ref="D173:D178" si="72">C173-B173</f>
        <v>7230</v>
      </c>
      <c r="F173" s="2">
        <f>D173*0.6</f>
        <v>4338</v>
      </c>
      <c r="I173" s="2">
        <f>D173*0.4</f>
        <v>2892</v>
      </c>
      <c r="O173" s="5" t="s">
        <v>68</v>
      </c>
      <c r="P173" s="2">
        <v>100</v>
      </c>
      <c r="U173" s="1" t="s">
        <v>878</v>
      </c>
    </row>
    <row r="174" spans="2:21" x14ac:dyDescent="0.35">
      <c r="B174" s="2">
        <f>C173</f>
        <v>7230</v>
      </c>
      <c r="C174" s="2">
        <v>9400</v>
      </c>
      <c r="D174" s="5">
        <f t="shared" si="72"/>
        <v>2170</v>
      </c>
      <c r="F174" s="5">
        <f>D174</f>
        <v>2170</v>
      </c>
      <c r="U174" s="1" t="s">
        <v>879</v>
      </c>
    </row>
    <row r="175" spans="2:21" x14ac:dyDescent="0.35">
      <c r="B175" s="2">
        <f t="shared" ref="B175:B178" si="73">C174</f>
        <v>9400</v>
      </c>
      <c r="C175" s="2">
        <v>9700</v>
      </c>
      <c r="D175" s="5">
        <f t="shared" si="72"/>
        <v>300</v>
      </c>
      <c r="G175" s="5">
        <f>D175</f>
        <v>300</v>
      </c>
      <c r="O175" s="2">
        <v>30</v>
      </c>
      <c r="U175" s="1" t="s">
        <v>880</v>
      </c>
    </row>
    <row r="176" spans="2:21" x14ac:dyDescent="0.35">
      <c r="B176" s="2">
        <f t="shared" si="73"/>
        <v>9700</v>
      </c>
      <c r="C176" s="2">
        <v>10800</v>
      </c>
      <c r="D176" s="5">
        <f t="shared" si="72"/>
        <v>1100</v>
      </c>
      <c r="G176" s="5">
        <f>D176</f>
        <v>1100</v>
      </c>
      <c r="O176" s="2">
        <v>35</v>
      </c>
      <c r="U176" s="1" t="s">
        <v>881</v>
      </c>
    </row>
    <row r="177" spans="2:21" x14ac:dyDescent="0.35">
      <c r="B177" s="2">
        <f t="shared" si="73"/>
        <v>10800</v>
      </c>
      <c r="C177" s="2">
        <v>11100</v>
      </c>
      <c r="D177" s="5">
        <f t="shared" si="72"/>
        <v>300</v>
      </c>
      <c r="H177" s="5">
        <f>D177</f>
        <v>300</v>
      </c>
      <c r="U177" s="1" t="s">
        <v>882</v>
      </c>
    </row>
    <row r="178" spans="2:21" x14ac:dyDescent="0.35">
      <c r="B178" s="2">
        <f t="shared" si="73"/>
        <v>11100</v>
      </c>
      <c r="C178" s="2">
        <v>11500</v>
      </c>
      <c r="D178" s="5">
        <f t="shared" si="72"/>
        <v>400</v>
      </c>
      <c r="F178" s="5">
        <v>0</v>
      </c>
      <c r="G178" s="5">
        <f>D178</f>
        <v>400</v>
      </c>
      <c r="U178" s="1" t="s">
        <v>883</v>
      </c>
    </row>
    <row r="179" spans="2:21" x14ac:dyDescent="0.35">
      <c r="B179" s="239" t="s">
        <v>849</v>
      </c>
      <c r="C179" s="239"/>
      <c r="D179" s="5">
        <f>SUM(D171:D178)</f>
        <v>17320</v>
      </c>
      <c r="E179" s="5">
        <f>SUM(E173:E178)</f>
        <v>0</v>
      </c>
      <c r="F179" s="5">
        <f>SUM(F173:F178)</f>
        <v>6508</v>
      </c>
      <c r="G179" s="5">
        <f>SUM(G174:G178)</f>
        <v>1800</v>
      </c>
      <c r="H179" s="5">
        <f>SUM(H174:H178)</f>
        <v>300</v>
      </c>
      <c r="I179" s="5">
        <f>SUM(I171:I178)</f>
        <v>8712</v>
      </c>
      <c r="J179" s="5">
        <f>SUM(J175:J178)</f>
        <v>0</v>
      </c>
      <c r="K179" s="5">
        <f>F179*0.5</f>
        <v>3254</v>
      </c>
      <c r="L179" s="5">
        <f>SUM(L176:L178)</f>
        <v>0</v>
      </c>
      <c r="M179" s="5">
        <f>SUM(M176:M178)</f>
        <v>0</v>
      </c>
      <c r="N179" s="5">
        <f>SUM(N175:N178)</f>
        <v>0</v>
      </c>
      <c r="O179" s="5">
        <f>SUM(O174:O178)</f>
        <v>65</v>
      </c>
      <c r="P179" s="5">
        <f>SUM(P171:P178)+200</f>
        <v>350</v>
      </c>
      <c r="R179" s="5">
        <f>SUM(R175:R178)</f>
        <v>0</v>
      </c>
      <c r="U179" s="1" t="s">
        <v>884</v>
      </c>
    </row>
    <row r="180" spans="2:21" x14ac:dyDescent="0.35">
      <c r="B180" s="239" t="s">
        <v>851</v>
      </c>
      <c r="C180" s="239"/>
      <c r="E180" s="95">
        <f>Rates!$C$6*E179</f>
        <v>0</v>
      </c>
      <c r="F180" s="95">
        <f>Rates!$C$7*F179</f>
        <v>464857.1428571429</v>
      </c>
      <c r="G180" s="95">
        <f>Rates!$C$8*G179</f>
        <v>450000</v>
      </c>
      <c r="H180" s="95">
        <f>Rates!$C$9*H179</f>
        <v>150000</v>
      </c>
      <c r="I180" s="95">
        <f>Rates!$C$10*I179</f>
        <v>130680</v>
      </c>
      <c r="J180" s="95">
        <f>Rates!$C$13*J179</f>
        <v>0</v>
      </c>
      <c r="K180" s="95">
        <f>Rates!$C$17*K179</f>
        <v>1561920</v>
      </c>
      <c r="L180" s="95">
        <f>Rates!$C$20*L179</f>
        <v>0</v>
      </c>
      <c r="M180" s="95">
        <f>Rates!$C$26*M179</f>
        <v>0</v>
      </c>
      <c r="O180" s="95">
        <f>Rates!$C$34*O179</f>
        <v>435500</v>
      </c>
      <c r="P180" s="95">
        <f>Rates!$C$35*P179</f>
        <v>612500</v>
      </c>
      <c r="Q180" s="95">
        <v>0</v>
      </c>
      <c r="R180" s="95">
        <f>R179*Rates!$C$50</f>
        <v>0</v>
      </c>
    </row>
    <row r="181" spans="2:21" x14ac:dyDescent="0.35">
      <c r="B181" s="240" t="s">
        <v>852</v>
      </c>
      <c r="C181" s="241"/>
      <c r="D181" s="146"/>
      <c r="E181" s="149"/>
      <c r="F181" s="146"/>
      <c r="G181" s="146"/>
      <c r="H181" s="146"/>
      <c r="I181" s="146"/>
      <c r="J181" s="146"/>
      <c r="K181" s="146"/>
      <c r="L181" s="149"/>
      <c r="M181" s="147">
        <f>SUM(E180:M180)</f>
        <v>2757457.1428571427</v>
      </c>
    </row>
    <row r="182" spans="2:21" x14ac:dyDescent="0.35">
      <c r="B182" s="237" t="s">
        <v>284</v>
      </c>
      <c r="C182" s="238"/>
      <c r="D182" s="86"/>
      <c r="E182" s="148"/>
      <c r="F182" s="86"/>
      <c r="G182" s="86"/>
      <c r="H182" s="86"/>
      <c r="I182" s="86"/>
      <c r="J182" s="86"/>
      <c r="K182" s="86"/>
      <c r="L182" s="148"/>
      <c r="M182" s="86"/>
      <c r="N182" s="86"/>
      <c r="O182" s="86"/>
      <c r="P182" s="86"/>
      <c r="Q182" s="86"/>
      <c r="R182" s="86"/>
      <c r="S182" s="86"/>
      <c r="T182" s="150">
        <f>SUM(N180:T180)</f>
        <v>1048000</v>
      </c>
    </row>
    <row r="183" spans="2:21" x14ac:dyDescent="0.35">
      <c r="B183" s="42"/>
      <c r="C183" s="42"/>
      <c r="E183" s="95"/>
      <c r="L183" s="95"/>
      <c r="T183" s="144"/>
    </row>
    <row r="184" spans="2:21" x14ac:dyDescent="0.35">
      <c r="B184" s="10" t="str">
        <f>Assessments!A173</f>
        <v>Key Summit to Cascade Creek - Advanced tramping track - OPTION 2</v>
      </c>
    </row>
    <row r="185" spans="2:21" x14ac:dyDescent="0.35">
      <c r="B185" s="79" t="s">
        <v>834</v>
      </c>
      <c r="C185" s="80" t="s">
        <v>835</v>
      </c>
      <c r="D185" s="80" t="s">
        <v>836</v>
      </c>
      <c r="E185" s="233" t="s">
        <v>837</v>
      </c>
      <c r="F185" s="234"/>
      <c r="G185" s="234"/>
      <c r="H185" s="234"/>
      <c r="I185" s="235"/>
      <c r="J185" s="80" t="s">
        <v>677</v>
      </c>
      <c r="K185" s="80" t="s">
        <v>838</v>
      </c>
      <c r="L185" s="80" t="s">
        <v>839</v>
      </c>
      <c r="M185" s="80" t="s">
        <v>840</v>
      </c>
      <c r="N185" s="80" t="s">
        <v>711</v>
      </c>
      <c r="O185" s="80" t="s">
        <v>707</v>
      </c>
      <c r="P185" s="81" t="s">
        <v>841</v>
      </c>
      <c r="Q185" s="81" t="s">
        <v>842</v>
      </c>
      <c r="R185" s="236" t="s">
        <v>843</v>
      </c>
      <c r="S185" s="236"/>
      <c r="T185" s="236"/>
      <c r="U185" s="79" t="s">
        <v>844</v>
      </c>
    </row>
    <row r="186" spans="2:21" x14ac:dyDescent="0.35">
      <c r="B186" s="42"/>
      <c r="C186" s="82"/>
      <c r="E186" s="80" t="s">
        <v>666</v>
      </c>
      <c r="F186" s="80" t="s">
        <v>668</v>
      </c>
      <c r="G186" s="80" t="s">
        <v>670</v>
      </c>
      <c r="H186" s="80" t="s">
        <v>845</v>
      </c>
      <c r="I186" s="80" t="s">
        <v>846</v>
      </c>
      <c r="J186" s="82"/>
      <c r="K186" s="82"/>
      <c r="L186" s="82"/>
      <c r="M186" s="82"/>
      <c r="N186" s="82"/>
      <c r="O186" s="82"/>
      <c r="P186" s="82"/>
      <c r="Q186" s="82"/>
      <c r="R186" s="80">
        <v>750</v>
      </c>
      <c r="S186" s="80" t="s">
        <v>738</v>
      </c>
      <c r="T186" s="80" t="s">
        <v>739</v>
      </c>
    </row>
    <row r="187" spans="2:21" x14ac:dyDescent="0.35">
      <c r="B187" s="2">
        <v>0</v>
      </c>
      <c r="C187" s="2">
        <v>5820</v>
      </c>
      <c r="D187" s="5">
        <f>C187-B187</f>
        <v>5820</v>
      </c>
      <c r="F187" s="5" t="s">
        <v>68</v>
      </c>
      <c r="G187" s="5" t="s">
        <v>68</v>
      </c>
      <c r="I187" s="5">
        <f>D187</f>
        <v>5820</v>
      </c>
      <c r="L187" s="2" t="s">
        <v>68</v>
      </c>
      <c r="M187" s="2" t="s">
        <v>68</v>
      </c>
      <c r="O187" s="2" t="s">
        <v>68</v>
      </c>
      <c r="P187" s="2">
        <v>50</v>
      </c>
      <c r="U187" s="1" t="s">
        <v>877</v>
      </c>
    </row>
    <row r="188" spans="2:21" x14ac:dyDescent="0.35">
      <c r="B188" s="2">
        <v>0</v>
      </c>
      <c r="C188" s="2">
        <v>9400</v>
      </c>
      <c r="D188" s="5">
        <f t="shared" ref="D188:D189" si="74">C188-B188</f>
        <v>9400</v>
      </c>
      <c r="I188" s="5">
        <f>D188</f>
        <v>9400</v>
      </c>
      <c r="O188" s="5" t="s">
        <v>885</v>
      </c>
      <c r="U188" s="1" t="s">
        <v>886</v>
      </c>
    </row>
    <row r="189" spans="2:21" x14ac:dyDescent="0.35">
      <c r="B189" s="2">
        <f>C188</f>
        <v>9400</v>
      </c>
      <c r="C189" s="2">
        <v>11500</v>
      </c>
      <c r="D189" s="5">
        <f t="shared" si="74"/>
        <v>2100</v>
      </c>
      <c r="E189" s="5">
        <f>D189</f>
        <v>2100</v>
      </c>
      <c r="U189" s="1" t="s">
        <v>887</v>
      </c>
    </row>
    <row r="190" spans="2:21" x14ac:dyDescent="0.35">
      <c r="B190" s="239" t="s">
        <v>849</v>
      </c>
      <c r="C190" s="239"/>
      <c r="D190" s="5">
        <f>SUM(D187:D189)</f>
        <v>17320</v>
      </c>
      <c r="E190" s="5">
        <f>SUM(E187:E189)</f>
        <v>2100</v>
      </c>
      <c r="F190" s="5">
        <f>SUM(F184:F189)</f>
        <v>0</v>
      </c>
      <c r="G190" s="5">
        <f>SUM(G185:G189)</f>
        <v>0</v>
      </c>
      <c r="H190" s="5">
        <f>SUM(H185:H189)</f>
        <v>0</v>
      </c>
      <c r="I190" s="5">
        <f>SUM(I187:I189)</f>
        <v>15220</v>
      </c>
      <c r="J190" s="5">
        <f>SUM(J186:J189)</f>
        <v>0</v>
      </c>
      <c r="K190" s="5">
        <f t="shared" ref="K190" si="75">SUM(K188:K189)</f>
        <v>0</v>
      </c>
      <c r="L190" s="5">
        <f>SUM(L187:L189)</f>
        <v>0</v>
      </c>
      <c r="M190" s="5">
        <f>SUM(M187:M189)</f>
        <v>0</v>
      </c>
      <c r="N190" s="5">
        <f>SUM(N186:N189)</f>
        <v>0</v>
      </c>
      <c r="O190" s="5">
        <f>SUM(O185:O189)</f>
        <v>0</v>
      </c>
      <c r="P190" s="5">
        <f>SUM(P186:P189)</f>
        <v>50</v>
      </c>
      <c r="R190" s="5">
        <f>SUM(R188:R189)</f>
        <v>0</v>
      </c>
    </row>
    <row r="191" spans="2:21" x14ac:dyDescent="0.35">
      <c r="B191" s="239" t="s">
        <v>851</v>
      </c>
      <c r="C191" s="239"/>
      <c r="E191" s="95">
        <f>Rates!$C$6*E190</f>
        <v>70000</v>
      </c>
      <c r="F191" s="95">
        <f>Rates!$C$7*F190</f>
        <v>0</v>
      </c>
      <c r="G191" s="95">
        <f>Rates!$C$8*G190</f>
        <v>0</v>
      </c>
      <c r="H191" s="95">
        <f>Rates!$C$9*H190</f>
        <v>0</v>
      </c>
      <c r="I191" s="95">
        <f>Rates!$C$10*I190</f>
        <v>228300</v>
      </c>
      <c r="J191" s="95">
        <f>Rates!$C$13*J190</f>
        <v>0</v>
      </c>
      <c r="K191" s="95">
        <f>Rates!$C$16*K190</f>
        <v>0</v>
      </c>
      <c r="L191" s="95">
        <f>Rates!$C$20*L190</f>
        <v>0</v>
      </c>
      <c r="M191" s="95">
        <f>Rates!$C$26*M190</f>
        <v>0</v>
      </c>
      <c r="O191" s="95">
        <f>O179*Rates!C45</f>
        <v>128050</v>
      </c>
      <c r="P191" s="95">
        <f>Rates!$C$35*P190</f>
        <v>87500</v>
      </c>
      <c r="Q191" s="95">
        <v>0</v>
      </c>
      <c r="R191" s="95">
        <f>R190*Rates!$C$50</f>
        <v>0</v>
      </c>
      <c r="U191" s="1" t="s">
        <v>888</v>
      </c>
    </row>
    <row r="192" spans="2:21" x14ac:dyDescent="0.35">
      <c r="B192" s="240" t="s">
        <v>852</v>
      </c>
      <c r="C192" s="241"/>
      <c r="D192" s="146"/>
      <c r="E192" s="149"/>
      <c r="F192" s="146"/>
      <c r="G192" s="146"/>
      <c r="H192" s="146"/>
      <c r="I192" s="146"/>
      <c r="J192" s="146"/>
      <c r="K192" s="146"/>
      <c r="L192" s="149"/>
      <c r="M192" s="147">
        <f>SUM(E191:M191)</f>
        <v>298300</v>
      </c>
    </row>
    <row r="193" spans="2:21" x14ac:dyDescent="0.35">
      <c r="B193" s="237" t="s">
        <v>284</v>
      </c>
      <c r="C193" s="238"/>
      <c r="D193" s="86"/>
      <c r="E193" s="148"/>
      <c r="F193" s="86"/>
      <c r="G193" s="86"/>
      <c r="H193" s="86"/>
      <c r="I193" s="86"/>
      <c r="J193" s="86"/>
      <c r="K193" s="86"/>
      <c r="L193" s="148"/>
      <c r="M193" s="86"/>
      <c r="N193" s="86"/>
      <c r="O193" s="86"/>
      <c r="P193" s="86"/>
      <c r="Q193" s="86"/>
      <c r="R193" s="86"/>
      <c r="S193" s="86"/>
      <c r="T193" s="150">
        <f>SUM(N191:T191)</f>
        <v>215550</v>
      </c>
    </row>
    <row r="194" spans="2:21" x14ac:dyDescent="0.35">
      <c r="B194" s="42"/>
      <c r="C194" s="42"/>
      <c r="E194" s="95"/>
      <c r="L194" s="95"/>
      <c r="T194" s="144"/>
    </row>
    <row r="195" spans="2:21" x14ac:dyDescent="0.35">
      <c r="B195" s="42"/>
      <c r="C195" s="42"/>
      <c r="E195" s="95"/>
      <c r="L195" s="95"/>
      <c r="T195" s="144"/>
    </row>
    <row r="196" spans="2:21" x14ac:dyDescent="0.35">
      <c r="B196" s="42"/>
      <c r="C196" s="42"/>
      <c r="E196" s="95"/>
      <c r="L196" s="95"/>
      <c r="T196" s="144"/>
    </row>
    <row r="197" spans="2:21" x14ac:dyDescent="0.35">
      <c r="B197" s="10" t="str">
        <f>Assessments!A308</f>
        <v>Divide Creek link track</v>
      </c>
    </row>
    <row r="198" spans="2:21" x14ac:dyDescent="0.35">
      <c r="B198" s="79" t="s">
        <v>834</v>
      </c>
      <c r="C198" s="80" t="s">
        <v>835</v>
      </c>
      <c r="D198" s="80" t="s">
        <v>836</v>
      </c>
      <c r="E198" s="233" t="s">
        <v>837</v>
      </c>
      <c r="F198" s="234"/>
      <c r="G198" s="234"/>
      <c r="H198" s="234"/>
      <c r="I198" s="235"/>
      <c r="J198" s="80" t="s">
        <v>677</v>
      </c>
      <c r="K198" s="80" t="s">
        <v>838</v>
      </c>
      <c r="L198" s="80" t="s">
        <v>839</v>
      </c>
      <c r="M198" s="80" t="s">
        <v>840</v>
      </c>
      <c r="N198" s="80" t="s">
        <v>711</v>
      </c>
      <c r="O198" s="80" t="s">
        <v>707</v>
      </c>
      <c r="P198" s="81" t="s">
        <v>841</v>
      </c>
      <c r="Q198" s="81" t="s">
        <v>842</v>
      </c>
      <c r="R198" s="236" t="s">
        <v>843</v>
      </c>
      <c r="S198" s="236"/>
      <c r="T198" s="236"/>
      <c r="U198" s="79" t="s">
        <v>844</v>
      </c>
    </row>
    <row r="199" spans="2:21" x14ac:dyDescent="0.35">
      <c r="B199" s="42"/>
      <c r="C199" s="82"/>
      <c r="E199" s="80" t="s">
        <v>666</v>
      </c>
      <c r="F199" s="80" t="s">
        <v>668</v>
      </c>
      <c r="G199" s="80" t="s">
        <v>670</v>
      </c>
      <c r="H199" s="80" t="s">
        <v>845</v>
      </c>
      <c r="I199" s="80" t="s">
        <v>846</v>
      </c>
      <c r="J199" s="82"/>
      <c r="K199" s="82"/>
      <c r="L199" s="82"/>
      <c r="M199" s="82"/>
      <c r="N199" s="82"/>
      <c r="O199" s="82"/>
      <c r="P199" s="82"/>
      <c r="Q199" s="82"/>
      <c r="R199" s="80">
        <v>750</v>
      </c>
      <c r="S199" s="80" t="s">
        <v>738</v>
      </c>
      <c r="T199" s="80" t="s">
        <v>739</v>
      </c>
    </row>
    <row r="200" spans="2:21" x14ac:dyDescent="0.35">
      <c r="B200" s="2">
        <v>0</v>
      </c>
      <c r="C200" s="2">
        <v>300</v>
      </c>
      <c r="D200" s="5">
        <f>C200-B200</f>
        <v>300</v>
      </c>
      <c r="F200" s="5" t="s">
        <v>68</v>
      </c>
      <c r="G200" s="5" t="s">
        <v>68</v>
      </c>
      <c r="H200" s="5">
        <f>D200</f>
        <v>300</v>
      </c>
      <c r="L200" s="2" t="s">
        <v>68</v>
      </c>
      <c r="M200" s="2" t="s">
        <v>68</v>
      </c>
      <c r="O200" s="2" t="s">
        <v>68</v>
      </c>
      <c r="U200" s="1" t="s">
        <v>889</v>
      </c>
    </row>
    <row r="201" spans="2:21" x14ac:dyDescent="0.35">
      <c r="B201" s="2">
        <f>C200</f>
        <v>300</v>
      </c>
      <c r="C201" s="2">
        <v>460</v>
      </c>
      <c r="D201" s="5">
        <f t="shared" ref="D201:D210" si="76">C201-B201</f>
        <v>160</v>
      </c>
      <c r="G201" s="5">
        <f>D201</f>
        <v>160</v>
      </c>
      <c r="O201" s="5">
        <v>20</v>
      </c>
      <c r="U201" s="1" t="s">
        <v>68</v>
      </c>
    </row>
    <row r="202" spans="2:21" x14ac:dyDescent="0.35">
      <c r="B202" s="2">
        <f t="shared" ref="B202:B210" si="77">C201</f>
        <v>460</v>
      </c>
      <c r="C202" s="2">
        <v>520</v>
      </c>
      <c r="D202" s="5">
        <f t="shared" si="76"/>
        <v>60</v>
      </c>
      <c r="G202" s="5">
        <f>D202</f>
        <v>60</v>
      </c>
      <c r="O202" s="2">
        <v>8</v>
      </c>
    </row>
    <row r="203" spans="2:21" x14ac:dyDescent="0.35">
      <c r="B203" s="2">
        <f t="shared" si="77"/>
        <v>520</v>
      </c>
      <c r="C203" s="2">
        <v>650</v>
      </c>
      <c r="D203" s="5">
        <f t="shared" si="76"/>
        <v>130</v>
      </c>
      <c r="G203" s="5">
        <f>D203</f>
        <v>130</v>
      </c>
    </row>
    <row r="204" spans="2:21" x14ac:dyDescent="0.35">
      <c r="B204" s="2">
        <f t="shared" si="77"/>
        <v>650</v>
      </c>
      <c r="C204" s="2">
        <v>750</v>
      </c>
      <c r="D204" s="5">
        <f t="shared" si="76"/>
        <v>100</v>
      </c>
      <c r="H204" s="5">
        <f>D204</f>
        <v>100</v>
      </c>
      <c r="Q204" s="2">
        <v>1</v>
      </c>
      <c r="U204" s="1" t="s">
        <v>890</v>
      </c>
    </row>
    <row r="205" spans="2:21" x14ac:dyDescent="0.35">
      <c r="B205" s="2">
        <f t="shared" si="77"/>
        <v>750</v>
      </c>
      <c r="C205" s="2">
        <v>900</v>
      </c>
      <c r="D205" s="5">
        <f t="shared" si="76"/>
        <v>150</v>
      </c>
      <c r="G205" s="5">
        <f>D205</f>
        <v>150</v>
      </c>
    </row>
    <row r="206" spans="2:21" x14ac:dyDescent="0.35">
      <c r="B206" s="2">
        <f t="shared" si="77"/>
        <v>900</v>
      </c>
      <c r="C206" s="2">
        <v>1600</v>
      </c>
      <c r="D206" s="5">
        <f t="shared" si="76"/>
        <v>700</v>
      </c>
      <c r="H206" s="5">
        <f>D206</f>
        <v>700</v>
      </c>
    </row>
    <row r="207" spans="2:21" x14ac:dyDescent="0.35">
      <c r="B207" s="2">
        <f t="shared" si="77"/>
        <v>1600</v>
      </c>
      <c r="C207" s="2">
        <v>1820</v>
      </c>
      <c r="D207" s="5">
        <f t="shared" si="76"/>
        <v>220</v>
      </c>
      <c r="G207" s="5">
        <f>D207</f>
        <v>220</v>
      </c>
    </row>
    <row r="208" spans="2:21" x14ac:dyDescent="0.35">
      <c r="B208" s="2">
        <f t="shared" si="77"/>
        <v>1820</v>
      </c>
      <c r="C208" s="2">
        <v>2000</v>
      </c>
      <c r="D208" s="5">
        <f t="shared" si="76"/>
        <v>180</v>
      </c>
      <c r="H208" s="5">
        <f>D208</f>
        <v>180</v>
      </c>
    </row>
    <row r="209" spans="2:21" x14ac:dyDescent="0.35">
      <c r="B209" s="2">
        <f t="shared" si="77"/>
        <v>2000</v>
      </c>
      <c r="C209" s="2">
        <v>2300</v>
      </c>
      <c r="D209" s="5">
        <f t="shared" si="76"/>
        <v>300</v>
      </c>
      <c r="H209" s="5">
        <f>D209</f>
        <v>300</v>
      </c>
      <c r="O209" s="2">
        <v>24</v>
      </c>
      <c r="U209" s="1" t="s">
        <v>891</v>
      </c>
    </row>
    <row r="210" spans="2:21" x14ac:dyDescent="0.35">
      <c r="B210" s="2">
        <f t="shared" si="77"/>
        <v>2300</v>
      </c>
      <c r="C210" s="2">
        <v>2690</v>
      </c>
      <c r="D210" s="5">
        <f t="shared" si="76"/>
        <v>390</v>
      </c>
      <c r="G210" s="5">
        <f>D210</f>
        <v>390</v>
      </c>
    </row>
    <row r="211" spans="2:21" x14ac:dyDescent="0.35">
      <c r="B211" s="239" t="s">
        <v>849</v>
      </c>
      <c r="C211" s="239"/>
      <c r="D211" s="5">
        <f>SUM(D200:D210)</f>
        <v>2690</v>
      </c>
      <c r="E211" s="5">
        <f>SUM(E208:E210)</f>
        <v>0</v>
      </c>
      <c r="F211" s="5">
        <f>SUM(F205:F210)</f>
        <v>0</v>
      </c>
      <c r="G211" s="5">
        <f>SUM(G201:G210)</f>
        <v>1110</v>
      </c>
      <c r="H211" s="5">
        <f>SUM(H200:H210)</f>
        <v>1580</v>
      </c>
      <c r="I211" s="5">
        <f>SUM(I208:I210)</f>
        <v>0</v>
      </c>
      <c r="J211" s="5">
        <f>SUM(J207:J210)</f>
        <v>0</v>
      </c>
      <c r="K211" s="5">
        <f t="shared" ref="K211" si="78">SUM(K209:K210)</f>
        <v>0</v>
      </c>
      <c r="L211" s="5">
        <f>SUM(L208:L210)</f>
        <v>0</v>
      </c>
      <c r="M211" s="5">
        <f>SUM(M208:M210)</f>
        <v>0</v>
      </c>
      <c r="N211" s="5">
        <f>SUM(N207:N210)</f>
        <v>0</v>
      </c>
      <c r="O211" s="5">
        <f>SUM(O201:O210)</f>
        <v>52</v>
      </c>
      <c r="P211" s="5">
        <f>SUM(P207:P210)</f>
        <v>0</v>
      </c>
      <c r="R211" s="5">
        <f>SUM(R207:R210)</f>
        <v>0</v>
      </c>
    </row>
    <row r="212" spans="2:21" x14ac:dyDescent="0.35">
      <c r="B212" s="239" t="s">
        <v>851</v>
      </c>
      <c r="C212" s="239"/>
      <c r="E212" s="95">
        <f>Rates!$C$6*E211</f>
        <v>0</v>
      </c>
      <c r="F212" s="95">
        <f>Rates!$C$7*F211</f>
        <v>0</v>
      </c>
      <c r="G212" s="95">
        <f>Rates!$C$8*G211</f>
        <v>277500</v>
      </c>
      <c r="H212" s="95">
        <f>Rates!$C$9*H211</f>
        <v>790000</v>
      </c>
      <c r="I212" s="95">
        <f>Rates!$C$10*I211</f>
        <v>0</v>
      </c>
      <c r="J212" s="95">
        <f>Rates!$C$13*J211</f>
        <v>0</v>
      </c>
      <c r="K212" s="95">
        <f>Rates!$C$16*K211</f>
        <v>0</v>
      </c>
      <c r="L212" s="95">
        <f>Rates!$C$20*L211</f>
        <v>0</v>
      </c>
      <c r="M212" s="95">
        <f>Rates!$C$26*M211</f>
        <v>0</v>
      </c>
      <c r="O212" s="95">
        <f>Rates!$C$34*O211</f>
        <v>348400</v>
      </c>
      <c r="P212" s="95">
        <f>Rates!$C$35*P211</f>
        <v>0</v>
      </c>
      <c r="Q212" s="95">
        <f>15*Rates!C38</f>
        <v>82500</v>
      </c>
      <c r="R212" s="95">
        <f>R211*Rates!$C$50</f>
        <v>0</v>
      </c>
    </row>
    <row r="213" spans="2:21" x14ac:dyDescent="0.35">
      <c r="B213" s="240" t="s">
        <v>852</v>
      </c>
      <c r="C213" s="241"/>
      <c r="D213" s="146"/>
      <c r="E213" s="149"/>
      <c r="F213" s="146"/>
      <c r="G213" s="146"/>
      <c r="H213" s="146"/>
      <c r="I213" s="146"/>
      <c r="J213" s="146"/>
      <c r="K213" s="146"/>
      <c r="L213" s="149"/>
      <c r="M213" s="147">
        <f>SUM(E212:M212)</f>
        <v>1067500</v>
      </c>
    </row>
    <row r="214" spans="2:21" x14ac:dyDescent="0.35">
      <c r="B214" s="237" t="s">
        <v>284</v>
      </c>
      <c r="C214" s="238"/>
      <c r="D214" s="86"/>
      <c r="E214" s="148"/>
      <c r="F214" s="86"/>
      <c r="G214" s="86"/>
      <c r="H214" s="86"/>
      <c r="I214" s="86"/>
      <c r="J214" s="86"/>
      <c r="K214" s="86"/>
      <c r="L214" s="148"/>
      <c r="M214" s="86"/>
      <c r="N214" s="86"/>
      <c r="O214" s="86"/>
      <c r="P214" s="86"/>
      <c r="Q214" s="86"/>
      <c r="R214" s="86"/>
      <c r="S214" s="86"/>
      <c r="T214" s="150">
        <f>SUM(N212:T212)</f>
        <v>430900</v>
      </c>
    </row>
    <row r="215" spans="2:21" x14ac:dyDescent="0.35">
      <c r="B215" s="42"/>
      <c r="C215" s="42"/>
      <c r="E215" s="95"/>
      <c r="L215" s="95"/>
      <c r="T215" s="144"/>
    </row>
    <row r="216" spans="2:21" x14ac:dyDescent="0.35">
      <c r="B216" s="10" t="str">
        <f>Assessments!A292</f>
        <v>Pass Creek Track upgrade</v>
      </c>
    </row>
    <row r="217" spans="2:21" x14ac:dyDescent="0.35">
      <c r="B217" s="79" t="s">
        <v>834</v>
      </c>
      <c r="C217" s="80" t="s">
        <v>835</v>
      </c>
      <c r="D217" s="80" t="s">
        <v>836</v>
      </c>
      <c r="E217" s="233" t="s">
        <v>837</v>
      </c>
      <c r="F217" s="234"/>
      <c r="G217" s="234"/>
      <c r="H217" s="234"/>
      <c r="I217" s="235"/>
      <c r="J217" s="80" t="s">
        <v>677</v>
      </c>
      <c r="K217" s="80" t="s">
        <v>838</v>
      </c>
      <c r="L217" s="80" t="s">
        <v>839</v>
      </c>
      <c r="M217" s="80" t="s">
        <v>840</v>
      </c>
      <c r="N217" s="80" t="s">
        <v>711</v>
      </c>
      <c r="O217" s="80" t="s">
        <v>707</v>
      </c>
      <c r="P217" s="81" t="s">
        <v>841</v>
      </c>
      <c r="Q217" s="81" t="s">
        <v>842</v>
      </c>
      <c r="R217" s="236" t="s">
        <v>843</v>
      </c>
      <c r="S217" s="236"/>
      <c r="T217" s="236"/>
      <c r="U217" s="79" t="s">
        <v>844</v>
      </c>
    </row>
    <row r="218" spans="2:21" x14ac:dyDescent="0.35">
      <c r="B218" s="42"/>
      <c r="C218" s="82"/>
      <c r="E218" s="80" t="s">
        <v>666</v>
      </c>
      <c r="F218" s="80" t="s">
        <v>668</v>
      </c>
      <c r="G218" s="80" t="s">
        <v>670</v>
      </c>
      <c r="H218" s="80" t="s">
        <v>845</v>
      </c>
      <c r="I218" s="80" t="s">
        <v>846</v>
      </c>
      <c r="J218" s="82"/>
      <c r="K218" s="82"/>
      <c r="L218" s="82"/>
      <c r="M218" s="82"/>
      <c r="N218" s="82"/>
      <c r="O218" s="82"/>
      <c r="P218" s="82"/>
      <c r="Q218" s="82"/>
      <c r="R218" s="80">
        <v>750</v>
      </c>
      <c r="S218" s="80" t="s">
        <v>738</v>
      </c>
      <c r="T218" s="80" t="s">
        <v>739</v>
      </c>
    </row>
    <row r="219" spans="2:21" x14ac:dyDescent="0.35">
      <c r="B219" s="2">
        <v>0</v>
      </c>
      <c r="C219" s="2">
        <v>100</v>
      </c>
      <c r="D219" s="5">
        <f>C219-B219</f>
        <v>100</v>
      </c>
      <c r="F219" s="5">
        <f>D219</f>
        <v>100</v>
      </c>
      <c r="G219" s="5" t="s">
        <v>68</v>
      </c>
      <c r="L219" s="2" t="s">
        <v>68</v>
      </c>
      <c r="M219" s="2" t="s">
        <v>68</v>
      </c>
      <c r="O219" s="2">
        <v>4</v>
      </c>
      <c r="U219" s="1" t="s">
        <v>892</v>
      </c>
    </row>
    <row r="220" spans="2:21" x14ac:dyDescent="0.35">
      <c r="B220" s="2">
        <f>C219</f>
        <v>100</v>
      </c>
      <c r="C220" s="2">
        <v>420</v>
      </c>
      <c r="D220" s="5">
        <f t="shared" ref="D220:D232" si="79">C220-B220</f>
        <v>320</v>
      </c>
      <c r="F220" s="5">
        <f t="shared" ref="F220:F232" si="80">D220</f>
        <v>320</v>
      </c>
      <c r="G220" s="5"/>
      <c r="O220" s="2">
        <v>6</v>
      </c>
      <c r="U220" s="1" t="s">
        <v>892</v>
      </c>
    </row>
    <row r="221" spans="2:21" x14ac:dyDescent="0.35">
      <c r="B221" s="2">
        <f t="shared" ref="B221:B232" si="81">C220</f>
        <v>420</v>
      </c>
      <c r="C221" s="2">
        <v>600</v>
      </c>
      <c r="D221" s="5">
        <f t="shared" si="79"/>
        <v>180</v>
      </c>
      <c r="F221" s="5">
        <f t="shared" si="80"/>
        <v>180</v>
      </c>
      <c r="O221" s="5" t="s">
        <v>68</v>
      </c>
      <c r="U221" s="1" t="s">
        <v>68</v>
      </c>
    </row>
    <row r="222" spans="2:21" x14ac:dyDescent="0.35">
      <c r="B222" s="2">
        <f t="shared" si="81"/>
        <v>600</v>
      </c>
      <c r="C222" s="2">
        <v>960</v>
      </c>
      <c r="D222" s="5">
        <f t="shared" si="79"/>
        <v>360</v>
      </c>
      <c r="F222" s="5" t="s">
        <v>68</v>
      </c>
      <c r="H222" s="5">
        <f>D222</f>
        <v>360</v>
      </c>
      <c r="U222" s="1" t="s">
        <v>893</v>
      </c>
    </row>
    <row r="223" spans="2:21" x14ac:dyDescent="0.35">
      <c r="B223" s="2">
        <f t="shared" si="81"/>
        <v>960</v>
      </c>
      <c r="C223" s="2">
        <v>1300</v>
      </c>
      <c r="D223" s="5">
        <f t="shared" si="79"/>
        <v>340</v>
      </c>
      <c r="F223" s="5">
        <f t="shared" si="80"/>
        <v>340</v>
      </c>
    </row>
    <row r="224" spans="2:21" x14ac:dyDescent="0.35">
      <c r="B224" s="2">
        <f t="shared" si="81"/>
        <v>1300</v>
      </c>
      <c r="C224" s="2">
        <v>1500</v>
      </c>
      <c r="D224" s="5">
        <f t="shared" si="79"/>
        <v>200</v>
      </c>
      <c r="F224" s="5" t="s">
        <v>68</v>
      </c>
      <c r="H224" s="5">
        <f>D224</f>
        <v>200</v>
      </c>
    </row>
    <row r="225" spans="2:21" x14ac:dyDescent="0.35">
      <c r="B225" s="2">
        <f t="shared" si="81"/>
        <v>1500</v>
      </c>
      <c r="C225" s="2">
        <v>1920</v>
      </c>
      <c r="D225" s="5">
        <f t="shared" si="79"/>
        <v>420</v>
      </c>
      <c r="F225" s="5">
        <f t="shared" si="80"/>
        <v>420</v>
      </c>
    </row>
    <row r="226" spans="2:21" x14ac:dyDescent="0.35">
      <c r="B226" s="2">
        <f t="shared" si="81"/>
        <v>1920</v>
      </c>
      <c r="C226" s="2">
        <v>2020</v>
      </c>
      <c r="D226" s="5">
        <f t="shared" si="79"/>
        <v>100</v>
      </c>
      <c r="F226" s="5">
        <f t="shared" si="80"/>
        <v>100</v>
      </c>
      <c r="P226" s="2">
        <v>50</v>
      </c>
      <c r="U226" s="1" t="s">
        <v>894</v>
      </c>
    </row>
    <row r="227" spans="2:21" x14ac:dyDescent="0.35">
      <c r="B227" s="2">
        <f t="shared" si="81"/>
        <v>2020</v>
      </c>
      <c r="C227" s="2">
        <v>2470</v>
      </c>
      <c r="D227" s="5">
        <f t="shared" si="79"/>
        <v>450</v>
      </c>
      <c r="F227" s="5">
        <f t="shared" si="80"/>
        <v>450</v>
      </c>
      <c r="P227" s="2">
        <v>100</v>
      </c>
    </row>
    <row r="228" spans="2:21" x14ac:dyDescent="0.35">
      <c r="B228" s="2">
        <f t="shared" si="81"/>
        <v>2470</v>
      </c>
      <c r="C228" s="2">
        <v>2950</v>
      </c>
      <c r="D228" s="5">
        <f t="shared" si="79"/>
        <v>480</v>
      </c>
      <c r="F228" s="5">
        <f t="shared" si="80"/>
        <v>480</v>
      </c>
      <c r="P228" s="2">
        <v>4</v>
      </c>
    </row>
    <row r="229" spans="2:21" x14ac:dyDescent="0.35">
      <c r="B229" s="2">
        <f t="shared" si="81"/>
        <v>2950</v>
      </c>
      <c r="C229" s="2">
        <v>2980</v>
      </c>
      <c r="D229" s="5">
        <f t="shared" si="79"/>
        <v>30</v>
      </c>
      <c r="F229" s="5" t="s">
        <v>68</v>
      </c>
      <c r="H229" s="5">
        <f>D229</f>
        <v>30</v>
      </c>
    </row>
    <row r="230" spans="2:21" x14ac:dyDescent="0.35">
      <c r="B230" s="2">
        <f t="shared" si="81"/>
        <v>2980</v>
      </c>
      <c r="C230" s="2">
        <v>3100</v>
      </c>
      <c r="D230" s="5">
        <f t="shared" si="79"/>
        <v>120</v>
      </c>
      <c r="F230" s="5">
        <f t="shared" si="80"/>
        <v>120</v>
      </c>
    </row>
    <row r="231" spans="2:21" x14ac:dyDescent="0.35">
      <c r="B231" s="2">
        <f t="shared" si="81"/>
        <v>3100</v>
      </c>
      <c r="C231" s="2">
        <v>3130</v>
      </c>
      <c r="D231" s="5">
        <f t="shared" si="79"/>
        <v>30</v>
      </c>
      <c r="F231" s="5" t="s">
        <v>68</v>
      </c>
      <c r="H231" s="5">
        <f>D231</f>
        <v>30</v>
      </c>
    </row>
    <row r="232" spans="2:21" x14ac:dyDescent="0.35">
      <c r="B232" s="2">
        <f t="shared" si="81"/>
        <v>3130</v>
      </c>
      <c r="C232" s="2">
        <v>3200</v>
      </c>
      <c r="D232" s="5">
        <f t="shared" si="79"/>
        <v>70</v>
      </c>
      <c r="F232" s="5">
        <f t="shared" si="80"/>
        <v>70</v>
      </c>
    </row>
    <row r="233" spans="2:21" x14ac:dyDescent="0.35">
      <c r="B233" s="239" t="s">
        <v>849</v>
      </c>
      <c r="C233" s="239"/>
      <c r="D233" s="5">
        <f>SUM(D219:D232)</f>
        <v>3200</v>
      </c>
      <c r="E233" s="5">
        <f>SUM(E230:E232)</f>
        <v>0</v>
      </c>
      <c r="F233" s="5">
        <f>SUM(F219:F232)</f>
        <v>2580</v>
      </c>
      <c r="G233" s="5">
        <f>SUM(G223:G232)</f>
        <v>0</v>
      </c>
      <c r="H233" s="5">
        <f>SUM(H222:H232)</f>
        <v>620</v>
      </c>
      <c r="I233" s="5">
        <f>SUM(I230:I232)</f>
        <v>0</v>
      </c>
      <c r="J233" s="5">
        <f>SUM(J229:J232)</f>
        <v>0</v>
      </c>
      <c r="K233" s="5">
        <f t="shared" ref="K233" si="82">SUM(K231:K232)</f>
        <v>0</v>
      </c>
      <c r="L233" s="5">
        <f>SUM(L230:L232)</f>
        <v>0</v>
      </c>
      <c r="M233" s="5">
        <f>SUM(M230:M232)</f>
        <v>0</v>
      </c>
      <c r="N233" s="5">
        <f>SUM(N229:N232)</f>
        <v>0</v>
      </c>
      <c r="O233" s="5">
        <f>SUM(O219:O232)</f>
        <v>10</v>
      </c>
      <c r="P233" s="5">
        <f>SUM(P226:P232)</f>
        <v>154</v>
      </c>
      <c r="R233" s="5">
        <f>SUM(R229:R232)</f>
        <v>0</v>
      </c>
    </row>
    <row r="234" spans="2:21" x14ac:dyDescent="0.35">
      <c r="B234" s="239" t="s">
        <v>851</v>
      </c>
      <c r="C234" s="239"/>
      <c r="E234" s="95">
        <f>Rates!$C$6*E233</f>
        <v>0</v>
      </c>
      <c r="F234" s="95">
        <f>Rates!$C$7*F233</f>
        <v>184285.71428571429</v>
      </c>
      <c r="G234" s="95">
        <f>Rates!$C$8*G233</f>
        <v>0</v>
      </c>
      <c r="H234" s="95">
        <f>Rates!$C$9*H233</f>
        <v>310000</v>
      </c>
      <c r="I234" s="95">
        <f>Rates!$C$10*I233</f>
        <v>0</v>
      </c>
      <c r="J234" s="95">
        <f>Rates!$C$13*J233</f>
        <v>0</v>
      </c>
      <c r="K234" s="95">
        <f>Rates!$C$16*K233</f>
        <v>0</v>
      </c>
      <c r="L234" s="95">
        <f>Rates!$C$20*L233</f>
        <v>0</v>
      </c>
      <c r="M234" s="95">
        <f>Rates!$C$26*M233</f>
        <v>0</v>
      </c>
      <c r="O234" s="95">
        <f>Rates!$C$34*O233</f>
        <v>67000</v>
      </c>
      <c r="P234" s="95">
        <f>Rates!$C$35*P233</f>
        <v>269500</v>
      </c>
      <c r="Q234" s="95">
        <f>15*Rates!C60</f>
        <v>0</v>
      </c>
      <c r="R234" s="95">
        <f>R233*Rates!$C$50</f>
        <v>0</v>
      </c>
    </row>
    <row r="235" spans="2:21" x14ac:dyDescent="0.35">
      <c r="B235" s="240" t="s">
        <v>852</v>
      </c>
      <c r="C235" s="241"/>
      <c r="D235" s="146"/>
      <c r="E235" s="149"/>
      <c r="F235" s="146"/>
      <c r="G235" s="146"/>
      <c r="H235" s="146"/>
      <c r="I235" s="146"/>
      <c r="J235" s="146"/>
      <c r="K235" s="146"/>
      <c r="L235" s="149"/>
      <c r="M235" s="147">
        <f>SUM(E234:M234)</f>
        <v>494285.71428571432</v>
      </c>
    </row>
    <row r="236" spans="2:21" x14ac:dyDescent="0.35">
      <c r="B236" s="237" t="s">
        <v>284</v>
      </c>
      <c r="C236" s="238"/>
      <c r="D236" s="86"/>
      <c r="E236" s="148"/>
      <c r="F236" s="86"/>
      <c r="G236" s="86"/>
      <c r="H236" s="86"/>
      <c r="I236" s="86"/>
      <c r="J236" s="86"/>
      <c r="K236" s="86"/>
      <c r="L236" s="148"/>
      <c r="M236" s="86"/>
      <c r="N236" s="86"/>
      <c r="O236" s="86"/>
      <c r="P236" s="86"/>
      <c r="Q236" s="86"/>
      <c r="R236" s="86"/>
      <c r="S236" s="86"/>
      <c r="T236" s="150">
        <f>SUM(N234:T234)</f>
        <v>336500</v>
      </c>
    </row>
    <row r="237" spans="2:21" x14ac:dyDescent="0.35">
      <c r="B237" s="42"/>
      <c r="C237" s="42"/>
      <c r="E237" s="95"/>
      <c r="L237" s="95"/>
      <c r="T237" s="144"/>
    </row>
    <row r="238" spans="2:21" x14ac:dyDescent="0.35">
      <c r="B238" s="10" t="str">
        <f>Assessments!A325</f>
        <v>Gertrude Valley Loop Track</v>
      </c>
    </row>
    <row r="239" spans="2:21" x14ac:dyDescent="0.35">
      <c r="B239" s="79" t="s">
        <v>834</v>
      </c>
      <c r="C239" s="80" t="s">
        <v>835</v>
      </c>
      <c r="D239" s="80" t="s">
        <v>836</v>
      </c>
      <c r="E239" s="233" t="s">
        <v>837</v>
      </c>
      <c r="F239" s="234"/>
      <c r="G239" s="234"/>
      <c r="H239" s="234"/>
      <c r="I239" s="235"/>
      <c r="J239" s="80" t="s">
        <v>677</v>
      </c>
      <c r="K239" s="80" t="s">
        <v>838</v>
      </c>
      <c r="L239" s="80" t="s">
        <v>839</v>
      </c>
      <c r="M239" s="80" t="s">
        <v>840</v>
      </c>
      <c r="N239" s="80" t="s">
        <v>711</v>
      </c>
      <c r="O239" s="80" t="s">
        <v>707</v>
      </c>
      <c r="P239" s="81" t="s">
        <v>841</v>
      </c>
      <c r="Q239" s="81" t="s">
        <v>842</v>
      </c>
      <c r="R239" s="236" t="s">
        <v>843</v>
      </c>
      <c r="S239" s="236"/>
      <c r="T239" s="236"/>
      <c r="U239" s="79" t="s">
        <v>844</v>
      </c>
    </row>
    <row r="240" spans="2:21" x14ac:dyDescent="0.35">
      <c r="B240" s="42"/>
      <c r="C240" s="82"/>
      <c r="E240" s="80" t="s">
        <v>666</v>
      </c>
      <c r="F240" s="80" t="s">
        <v>668</v>
      </c>
      <c r="G240" s="80" t="s">
        <v>670</v>
      </c>
      <c r="H240" s="80" t="s">
        <v>845</v>
      </c>
      <c r="I240" s="80" t="s">
        <v>846</v>
      </c>
      <c r="J240" s="82"/>
      <c r="K240" s="82"/>
      <c r="L240" s="82"/>
      <c r="M240" s="82"/>
      <c r="N240" s="82"/>
      <c r="O240" s="82"/>
      <c r="P240" s="82"/>
      <c r="Q240" s="82"/>
      <c r="R240" s="80">
        <v>750</v>
      </c>
      <c r="S240" s="80" t="s">
        <v>738</v>
      </c>
      <c r="T240" s="80" t="s">
        <v>739</v>
      </c>
    </row>
    <row r="241" spans="2:21" x14ac:dyDescent="0.35">
      <c r="B241" s="2">
        <v>0</v>
      </c>
      <c r="C241" s="2">
        <v>20</v>
      </c>
      <c r="D241" s="5">
        <f>C241-B241</f>
        <v>20</v>
      </c>
      <c r="E241" s="5">
        <f>D241</f>
        <v>20</v>
      </c>
      <c r="F241" s="5" t="s">
        <v>68</v>
      </c>
    </row>
    <row r="242" spans="2:21" x14ac:dyDescent="0.35">
      <c r="B242" s="2">
        <f>C241</f>
        <v>20</v>
      </c>
      <c r="C242" s="2">
        <v>130</v>
      </c>
      <c r="D242" s="5">
        <f t="shared" ref="D242:D245" si="83">C242-B242</f>
        <v>110</v>
      </c>
      <c r="O242" s="5">
        <v>20</v>
      </c>
      <c r="P242" s="2">
        <v>90</v>
      </c>
      <c r="U242" s="1" t="s">
        <v>895</v>
      </c>
    </row>
    <row r="243" spans="2:21" x14ac:dyDescent="0.35">
      <c r="B243" s="2">
        <f t="shared" ref="B243:B245" si="84">C242</f>
        <v>130</v>
      </c>
      <c r="C243" s="2">
        <v>400</v>
      </c>
      <c r="D243" s="5">
        <f t="shared" si="83"/>
        <v>270</v>
      </c>
      <c r="H243" s="5">
        <f>D243</f>
        <v>270</v>
      </c>
      <c r="L243" s="5">
        <f>D243</f>
        <v>270</v>
      </c>
    </row>
    <row r="244" spans="2:21" x14ac:dyDescent="0.35">
      <c r="B244" s="2">
        <f t="shared" si="84"/>
        <v>400</v>
      </c>
      <c r="C244" s="2">
        <v>1270</v>
      </c>
      <c r="D244" s="5">
        <f t="shared" si="83"/>
        <v>870</v>
      </c>
      <c r="H244" s="5">
        <f t="shared" ref="H244:H245" si="85">D244</f>
        <v>870</v>
      </c>
      <c r="L244" s="5">
        <f t="shared" ref="L244:L245" si="86">D244</f>
        <v>870</v>
      </c>
      <c r="M244" s="5">
        <f>D244</f>
        <v>870</v>
      </c>
      <c r="Q244" s="2">
        <f>6*3</f>
        <v>18</v>
      </c>
      <c r="U244" s="1" t="s">
        <v>896</v>
      </c>
    </row>
    <row r="245" spans="2:21" x14ac:dyDescent="0.35">
      <c r="B245" s="2">
        <f t="shared" si="84"/>
        <v>1270</v>
      </c>
      <c r="C245" s="2">
        <v>1840</v>
      </c>
      <c r="D245" s="5">
        <f t="shared" si="83"/>
        <v>570</v>
      </c>
      <c r="H245" s="5">
        <f t="shared" si="85"/>
        <v>570</v>
      </c>
      <c r="L245" s="5">
        <f t="shared" si="86"/>
        <v>570</v>
      </c>
      <c r="M245" s="5">
        <f>D245</f>
        <v>570</v>
      </c>
      <c r="S245" s="2">
        <v>12</v>
      </c>
    </row>
    <row r="246" spans="2:21" x14ac:dyDescent="0.35">
      <c r="B246" s="239" t="s">
        <v>849</v>
      </c>
      <c r="C246" s="239"/>
      <c r="D246" s="5">
        <f>SUM(D241:D245)</f>
        <v>1840</v>
      </c>
      <c r="E246" s="5">
        <f>SUM(E241:E245)</f>
        <v>20</v>
      </c>
      <c r="F246" s="5">
        <f>SUM(F241:F245)</f>
        <v>0</v>
      </c>
      <c r="G246" s="5">
        <f>SUM(G236:G245)</f>
        <v>0</v>
      </c>
      <c r="H246" s="5">
        <f>SUM(H241:H245)</f>
        <v>1710</v>
      </c>
      <c r="I246" s="5">
        <f>SUM(I243:I245)</f>
        <v>0</v>
      </c>
      <c r="J246" s="5">
        <f>SUM(J242:J245)</f>
        <v>0</v>
      </c>
      <c r="K246" s="5">
        <f t="shared" ref="K246" si="87">SUM(K244:K245)</f>
        <v>0</v>
      </c>
      <c r="L246" s="5">
        <f>SUM(L243:L245)</f>
        <v>1710</v>
      </c>
      <c r="M246" s="5">
        <f>SUM(M243:M245)</f>
        <v>1440</v>
      </c>
      <c r="N246" s="5">
        <f>SUM(N242:N245)</f>
        <v>0</v>
      </c>
      <c r="O246" s="5">
        <f>SUM(O242:O245)</f>
        <v>20</v>
      </c>
      <c r="P246" s="5">
        <f>SUM(P242:P245)</f>
        <v>90</v>
      </c>
      <c r="R246" s="5">
        <f>SUM(R242:R245)</f>
        <v>0</v>
      </c>
      <c r="S246" s="5">
        <f>SUM(S242:S245)</f>
        <v>12</v>
      </c>
    </row>
    <row r="247" spans="2:21" x14ac:dyDescent="0.35">
      <c r="B247" s="239" t="s">
        <v>851</v>
      </c>
      <c r="C247" s="239"/>
      <c r="E247" s="95">
        <f>Rates!$C$6*E246</f>
        <v>666.66666666666674</v>
      </c>
      <c r="F247" s="95">
        <f>Rates!$C$7*F246</f>
        <v>0</v>
      </c>
      <c r="G247" s="95">
        <f>Rates!$C$8*G246</f>
        <v>0</v>
      </c>
      <c r="H247" s="95">
        <f>Rates!$C$9*H246</f>
        <v>855000</v>
      </c>
      <c r="I247" s="95">
        <f>Rates!$C$10*I246</f>
        <v>0</v>
      </c>
      <c r="J247" s="95">
        <f>Rates!$C$13*J246</f>
        <v>0</v>
      </c>
      <c r="K247" s="95">
        <f>Rates!$C$16*K246</f>
        <v>0</v>
      </c>
      <c r="L247" s="95">
        <f>Rates!$C$24*L246</f>
        <v>161228.57142857142</v>
      </c>
      <c r="M247" s="95">
        <f>Rates!$C$26*M246</f>
        <v>155520</v>
      </c>
      <c r="O247" s="95">
        <f>Rates!$C$34*O246</f>
        <v>134000</v>
      </c>
      <c r="P247" s="95">
        <f>Rates!$C$35*P246</f>
        <v>157500</v>
      </c>
      <c r="Q247" s="95">
        <f>18*Rates!C38</f>
        <v>99000</v>
      </c>
      <c r="R247" s="95">
        <f>R246*Rates!$C$50</f>
        <v>0</v>
      </c>
      <c r="S247" s="95">
        <f>S246*Rates!$C$51</f>
        <v>42000</v>
      </c>
    </row>
    <row r="248" spans="2:21" x14ac:dyDescent="0.35">
      <c r="B248" s="240" t="s">
        <v>852</v>
      </c>
      <c r="C248" s="241"/>
      <c r="D248" s="146"/>
      <c r="E248" s="149"/>
      <c r="F248" s="146"/>
      <c r="G248" s="146"/>
      <c r="H248" s="146"/>
      <c r="I248" s="146"/>
      <c r="J248" s="146"/>
      <c r="K248" s="146"/>
      <c r="L248" s="149"/>
      <c r="M248" s="147">
        <f>SUM(E247:M247)</f>
        <v>1172415.2380952381</v>
      </c>
    </row>
    <row r="249" spans="2:21" x14ac:dyDescent="0.35">
      <c r="B249" s="237" t="s">
        <v>284</v>
      </c>
      <c r="C249" s="238"/>
      <c r="D249" s="86"/>
      <c r="E249" s="148"/>
      <c r="F249" s="86"/>
      <c r="G249" s="86"/>
      <c r="H249" s="86"/>
      <c r="I249" s="86"/>
      <c r="J249" s="86"/>
      <c r="K249" s="86"/>
      <c r="L249" s="148"/>
      <c r="M249" s="86"/>
      <c r="N249" s="86"/>
      <c r="O249" s="86"/>
      <c r="P249" s="86"/>
      <c r="Q249" s="86"/>
      <c r="R249" s="86"/>
      <c r="S249" s="86"/>
      <c r="T249" s="150">
        <f>SUM(N247:T247)</f>
        <v>432500</v>
      </c>
    </row>
    <row r="250" spans="2:21" x14ac:dyDescent="0.35">
      <c r="B250" s="42"/>
      <c r="C250" s="42"/>
      <c r="E250" s="95"/>
      <c r="L250" s="95"/>
      <c r="T250" s="144"/>
    </row>
    <row r="251" spans="2:21" x14ac:dyDescent="0.35">
      <c r="B251" s="10" t="str">
        <f>Assessments!A342</f>
        <v>The Chasm to Cleddau Horse Bridge Track</v>
      </c>
    </row>
    <row r="252" spans="2:21" x14ac:dyDescent="0.35">
      <c r="B252" s="79" t="s">
        <v>834</v>
      </c>
      <c r="C252" s="80" t="s">
        <v>835</v>
      </c>
      <c r="D252" s="80" t="s">
        <v>836</v>
      </c>
      <c r="E252" s="233" t="s">
        <v>837</v>
      </c>
      <c r="F252" s="234"/>
      <c r="G252" s="234"/>
      <c r="H252" s="234"/>
      <c r="I252" s="235"/>
      <c r="J252" s="80" t="s">
        <v>677</v>
      </c>
      <c r="K252" s="80" t="s">
        <v>838</v>
      </c>
      <c r="L252" s="80" t="s">
        <v>839</v>
      </c>
      <c r="M252" s="80" t="s">
        <v>840</v>
      </c>
      <c r="N252" s="80" t="s">
        <v>711</v>
      </c>
      <c r="O252" s="80" t="s">
        <v>707</v>
      </c>
      <c r="P252" s="81" t="s">
        <v>841</v>
      </c>
      <c r="Q252" s="81" t="s">
        <v>842</v>
      </c>
      <c r="R252" s="236" t="s">
        <v>843</v>
      </c>
      <c r="S252" s="236"/>
      <c r="T252" s="236"/>
      <c r="U252" s="79" t="s">
        <v>844</v>
      </c>
    </row>
    <row r="253" spans="2:21" x14ac:dyDescent="0.35">
      <c r="B253" s="42"/>
      <c r="C253" s="82"/>
      <c r="E253" s="80" t="s">
        <v>666</v>
      </c>
      <c r="F253" s="80" t="s">
        <v>668</v>
      </c>
      <c r="G253" s="80" t="s">
        <v>670</v>
      </c>
      <c r="H253" s="80" t="s">
        <v>845</v>
      </c>
      <c r="I253" s="80" t="s">
        <v>846</v>
      </c>
      <c r="J253" s="82"/>
      <c r="K253" s="82"/>
      <c r="L253" s="82"/>
      <c r="M253" s="82"/>
      <c r="N253" s="82"/>
      <c r="O253" s="82"/>
      <c r="P253" s="82"/>
      <c r="Q253" s="82"/>
      <c r="R253" s="80">
        <v>750</v>
      </c>
      <c r="S253" s="80" t="s">
        <v>738</v>
      </c>
      <c r="T253" s="80" t="s">
        <v>739</v>
      </c>
    </row>
    <row r="254" spans="2:21" x14ac:dyDescent="0.35">
      <c r="B254" s="2">
        <v>0</v>
      </c>
      <c r="C254" s="2">
        <v>100</v>
      </c>
      <c r="D254" s="5">
        <f>C254-B254</f>
        <v>100</v>
      </c>
      <c r="F254" s="5" t="s">
        <v>68</v>
      </c>
      <c r="H254" s="5">
        <f>D254</f>
        <v>100</v>
      </c>
      <c r="L254" s="5">
        <f>D254</f>
        <v>100</v>
      </c>
      <c r="U254" s="1" t="s">
        <v>897</v>
      </c>
    </row>
    <row r="255" spans="2:21" x14ac:dyDescent="0.35">
      <c r="B255" s="2">
        <f>C254</f>
        <v>100</v>
      </c>
      <c r="C255" s="2">
        <v>140</v>
      </c>
      <c r="D255" s="5">
        <f t="shared" ref="D255:D263" si="88">C255-B255</f>
        <v>40</v>
      </c>
      <c r="O255" s="5">
        <f>D255</f>
        <v>40</v>
      </c>
      <c r="U255" s="1" t="s">
        <v>898</v>
      </c>
    </row>
    <row r="256" spans="2:21" x14ac:dyDescent="0.35">
      <c r="B256" s="2">
        <f t="shared" ref="B256:B263" si="89">C255</f>
        <v>140</v>
      </c>
      <c r="C256" s="2">
        <v>2020</v>
      </c>
      <c r="D256" s="5">
        <f t="shared" si="88"/>
        <v>1880</v>
      </c>
      <c r="H256" s="5">
        <f>D256</f>
        <v>1880</v>
      </c>
      <c r="M256" s="5">
        <f>D256</f>
        <v>1880</v>
      </c>
    </row>
    <row r="257" spans="2:21" x14ac:dyDescent="0.35">
      <c r="B257" s="2">
        <f t="shared" si="89"/>
        <v>2020</v>
      </c>
      <c r="C257" s="2">
        <v>2250</v>
      </c>
      <c r="D257" s="5">
        <f t="shared" si="88"/>
        <v>230</v>
      </c>
      <c r="H257" s="5">
        <f>D257</f>
        <v>230</v>
      </c>
      <c r="M257" s="5">
        <f t="shared" ref="M257:M260" si="90">D257</f>
        <v>230</v>
      </c>
    </row>
    <row r="258" spans="2:21" x14ac:dyDescent="0.35">
      <c r="B258" s="2">
        <f t="shared" si="89"/>
        <v>2250</v>
      </c>
      <c r="C258" s="2">
        <v>2500</v>
      </c>
      <c r="D258" s="5">
        <f t="shared" si="88"/>
        <v>250</v>
      </c>
      <c r="H258" s="5">
        <f t="shared" ref="H258:H260" si="91">D258</f>
        <v>250</v>
      </c>
      <c r="M258" s="5">
        <f t="shared" si="90"/>
        <v>250</v>
      </c>
      <c r="O258" s="2">
        <v>175</v>
      </c>
      <c r="U258" s="1" t="s">
        <v>899</v>
      </c>
    </row>
    <row r="259" spans="2:21" x14ac:dyDescent="0.35">
      <c r="B259" s="2">
        <f t="shared" si="89"/>
        <v>2500</v>
      </c>
      <c r="C259" s="2">
        <v>2700</v>
      </c>
      <c r="D259" s="5">
        <f t="shared" si="88"/>
        <v>200</v>
      </c>
      <c r="H259" s="5">
        <f t="shared" si="91"/>
        <v>200</v>
      </c>
      <c r="M259" s="5">
        <f t="shared" si="90"/>
        <v>200</v>
      </c>
    </row>
    <row r="260" spans="2:21" x14ac:dyDescent="0.35">
      <c r="B260" s="2">
        <f t="shared" si="89"/>
        <v>2700</v>
      </c>
      <c r="C260" s="2">
        <v>2900</v>
      </c>
      <c r="D260" s="5">
        <f t="shared" si="88"/>
        <v>200</v>
      </c>
      <c r="H260" s="5">
        <f t="shared" si="91"/>
        <v>200</v>
      </c>
      <c r="M260" s="5">
        <f t="shared" si="90"/>
        <v>200</v>
      </c>
    </row>
    <row r="261" spans="2:21" x14ac:dyDescent="0.35">
      <c r="B261" s="2">
        <f t="shared" si="89"/>
        <v>2900</v>
      </c>
      <c r="C261" s="2">
        <v>3050</v>
      </c>
      <c r="D261" s="5">
        <f t="shared" si="88"/>
        <v>150</v>
      </c>
      <c r="G261" s="5">
        <f>D261</f>
        <v>150</v>
      </c>
      <c r="L261" s="5">
        <f>D261</f>
        <v>150</v>
      </c>
    </row>
    <row r="262" spans="2:21" x14ac:dyDescent="0.35">
      <c r="B262" s="2">
        <f t="shared" si="89"/>
        <v>3050</v>
      </c>
      <c r="C262" s="2">
        <v>3085</v>
      </c>
      <c r="D262" s="5">
        <f t="shared" si="88"/>
        <v>35</v>
      </c>
      <c r="L262" s="5">
        <f t="shared" ref="L262:L263" si="92">D262</f>
        <v>35</v>
      </c>
      <c r="O262" s="2">
        <v>35</v>
      </c>
      <c r="U262" s="1" t="s">
        <v>900</v>
      </c>
    </row>
    <row r="263" spans="2:21" x14ac:dyDescent="0.35">
      <c r="B263" s="2">
        <f t="shared" si="89"/>
        <v>3085</v>
      </c>
      <c r="C263" s="2">
        <v>3240</v>
      </c>
      <c r="D263" s="5">
        <f t="shared" si="88"/>
        <v>155</v>
      </c>
      <c r="L263" s="5">
        <f t="shared" si="92"/>
        <v>155</v>
      </c>
    </row>
    <row r="264" spans="2:21" x14ac:dyDescent="0.35">
      <c r="B264" s="239" t="s">
        <v>849</v>
      </c>
      <c r="C264" s="239"/>
      <c r="D264" s="5">
        <f>SUM(D254:D263)</f>
        <v>3240</v>
      </c>
      <c r="E264" s="5">
        <f>SUM(E259:E263)</f>
        <v>0</v>
      </c>
      <c r="F264" s="5">
        <f>SUM(F259:F263)</f>
        <v>0</v>
      </c>
      <c r="G264" s="5">
        <f>SUM(G254:G263)</f>
        <v>150</v>
      </c>
      <c r="H264" s="5">
        <f>SUM(H254:H263)</f>
        <v>2860</v>
      </c>
      <c r="I264" s="5">
        <f>SUM(I261:I263)</f>
        <v>0</v>
      </c>
      <c r="J264" s="5">
        <f>SUM(J260:J263)</f>
        <v>0</v>
      </c>
      <c r="K264" s="5">
        <f t="shared" ref="K264" si="93">SUM(K262:K263)</f>
        <v>0</v>
      </c>
      <c r="L264" s="5">
        <f>SUM(L254:L263)</f>
        <v>440</v>
      </c>
      <c r="M264" s="5">
        <f>SUM(M256:M263)</f>
        <v>2760</v>
      </c>
      <c r="N264" s="5">
        <f>SUM(N260:N263)</f>
        <v>0</v>
      </c>
      <c r="O264" s="5">
        <f>SUM(O255:O263)</f>
        <v>250</v>
      </c>
      <c r="P264" s="5">
        <f>SUM(P260:P263)</f>
        <v>0</v>
      </c>
      <c r="R264" s="5">
        <f>SUM(R260:R263)</f>
        <v>0</v>
      </c>
    </row>
    <row r="265" spans="2:21" x14ac:dyDescent="0.35">
      <c r="B265" s="239" t="s">
        <v>851</v>
      </c>
      <c r="C265" s="239"/>
      <c r="E265" s="95">
        <f>Rates!$C$6*E264</f>
        <v>0</v>
      </c>
      <c r="F265" s="95">
        <f>Rates!$C$7*F264</f>
        <v>0</v>
      </c>
      <c r="G265" s="95">
        <f>Rates!$C$8*G264</f>
        <v>37500</v>
      </c>
      <c r="H265" s="95">
        <f>Rates!$C$9*H264</f>
        <v>1430000</v>
      </c>
      <c r="I265" s="95">
        <f>Rates!$C$10*I264</f>
        <v>0</v>
      </c>
      <c r="J265" s="95">
        <f>Rates!$C$13*J264</f>
        <v>0</v>
      </c>
      <c r="K265" s="95">
        <f>Rates!$C$16*K264</f>
        <v>0</v>
      </c>
      <c r="L265" s="95">
        <f>Rates!$C$20*L264</f>
        <v>26400</v>
      </c>
      <c r="M265" s="95">
        <f>Rates!$C$26*M264</f>
        <v>298080</v>
      </c>
      <c r="O265" s="95">
        <f>Rates!$C$34*O264</f>
        <v>1675000</v>
      </c>
      <c r="P265" s="95">
        <f>Rates!$C$35*P264</f>
        <v>0</v>
      </c>
      <c r="Q265" s="95">
        <v>0</v>
      </c>
      <c r="R265" s="95">
        <f>R264*Rates!$C$50</f>
        <v>0</v>
      </c>
    </row>
    <row r="266" spans="2:21" x14ac:dyDescent="0.35">
      <c r="B266" s="240" t="s">
        <v>852</v>
      </c>
      <c r="C266" s="241"/>
      <c r="D266" s="146"/>
      <c r="E266" s="149"/>
      <c r="F266" s="146"/>
      <c r="G266" s="146"/>
      <c r="H266" s="146"/>
      <c r="I266" s="146"/>
      <c r="J266" s="146"/>
      <c r="K266" s="146"/>
      <c r="L266" s="149"/>
      <c r="M266" s="147">
        <f>SUM(E265:M265)</f>
        <v>1791980</v>
      </c>
    </row>
    <row r="267" spans="2:21" x14ac:dyDescent="0.35">
      <c r="B267" s="237" t="s">
        <v>284</v>
      </c>
      <c r="C267" s="238"/>
      <c r="D267" s="86"/>
      <c r="E267" s="148"/>
      <c r="F267" s="86"/>
      <c r="G267" s="86"/>
      <c r="H267" s="86"/>
      <c r="I267" s="86"/>
      <c r="J267" s="86"/>
      <c r="K267" s="86"/>
      <c r="L267" s="148"/>
      <c r="M267" s="86"/>
      <c r="N267" s="86"/>
      <c r="O267" s="86"/>
      <c r="P267" s="86"/>
      <c r="Q267" s="86"/>
      <c r="R267" s="86"/>
      <c r="S267" s="86"/>
      <c r="T267" s="150">
        <f>SUM(N265:T265)</f>
        <v>1675000</v>
      </c>
    </row>
    <row r="268" spans="2:21" x14ac:dyDescent="0.35">
      <c r="D268" s="5"/>
      <c r="L268" s="5"/>
    </row>
    <row r="269" spans="2:21" x14ac:dyDescent="0.35">
      <c r="B269" s="42"/>
      <c r="C269" s="42"/>
      <c r="E269" s="95"/>
      <c r="L269" s="95"/>
      <c r="T269" s="144"/>
    </row>
    <row r="270" spans="2:21" x14ac:dyDescent="0.35">
      <c r="B270" s="10" t="str">
        <f>Assessments!A359</f>
        <v>Milford Sound Lodge to Tutoko River Bridge Track</v>
      </c>
    </row>
    <row r="271" spans="2:21" x14ac:dyDescent="0.35">
      <c r="B271" s="79" t="s">
        <v>834</v>
      </c>
      <c r="C271" s="80" t="s">
        <v>835</v>
      </c>
      <c r="D271" s="80" t="s">
        <v>836</v>
      </c>
      <c r="E271" s="233" t="s">
        <v>837</v>
      </c>
      <c r="F271" s="234"/>
      <c r="G271" s="234"/>
      <c r="H271" s="234"/>
      <c r="I271" s="235"/>
      <c r="J271" s="80" t="s">
        <v>677</v>
      </c>
      <c r="K271" s="80" t="s">
        <v>838</v>
      </c>
      <c r="L271" s="80" t="s">
        <v>839</v>
      </c>
      <c r="M271" s="80" t="s">
        <v>840</v>
      </c>
      <c r="N271" s="80" t="s">
        <v>711</v>
      </c>
      <c r="O271" s="80" t="s">
        <v>707</v>
      </c>
      <c r="P271" s="81" t="s">
        <v>841</v>
      </c>
      <c r="Q271" s="81" t="s">
        <v>842</v>
      </c>
      <c r="R271" s="236" t="s">
        <v>843</v>
      </c>
      <c r="S271" s="236"/>
      <c r="T271" s="236"/>
      <c r="U271" s="79" t="s">
        <v>844</v>
      </c>
    </row>
    <row r="272" spans="2:21" x14ac:dyDescent="0.35">
      <c r="B272" s="42"/>
      <c r="C272" s="82"/>
      <c r="E272" s="80" t="s">
        <v>666</v>
      </c>
      <c r="F272" s="80" t="s">
        <v>668</v>
      </c>
      <c r="G272" s="80" t="s">
        <v>670</v>
      </c>
      <c r="H272" s="80" t="s">
        <v>845</v>
      </c>
      <c r="I272" s="80" t="s">
        <v>846</v>
      </c>
      <c r="J272" s="82"/>
      <c r="K272" s="82"/>
      <c r="L272" s="82"/>
      <c r="M272" s="82"/>
      <c r="N272" s="82"/>
      <c r="O272" s="82"/>
      <c r="P272" s="82"/>
      <c r="Q272" s="82"/>
      <c r="R272" s="80">
        <v>750</v>
      </c>
      <c r="S272" s="80" t="s">
        <v>738</v>
      </c>
      <c r="T272" s="80" t="s">
        <v>739</v>
      </c>
    </row>
    <row r="273" spans="2:21" x14ac:dyDescent="0.35">
      <c r="B273" s="2">
        <v>0</v>
      </c>
      <c r="C273" s="2">
        <v>300</v>
      </c>
      <c r="D273" s="5">
        <f>C273-B273</f>
        <v>300</v>
      </c>
      <c r="F273" s="5">
        <f>D273</f>
        <v>300</v>
      </c>
      <c r="J273" s="5">
        <f>D273*0.15*1.5</f>
        <v>67.5</v>
      </c>
      <c r="L273" s="5">
        <f>J273</f>
        <v>67.5</v>
      </c>
      <c r="R273" s="2">
        <v>1</v>
      </c>
      <c r="U273" s="1" t="s">
        <v>901</v>
      </c>
    </row>
    <row r="274" spans="2:21" x14ac:dyDescent="0.35">
      <c r="B274" s="2">
        <f>C273</f>
        <v>300</v>
      </c>
      <c r="C274" s="2">
        <v>700</v>
      </c>
      <c r="D274" s="5">
        <f t="shared" ref="D274:D281" si="94">C274-B274</f>
        <v>400</v>
      </c>
      <c r="F274" s="5">
        <f t="shared" ref="F274:F277" si="95">D274</f>
        <v>400</v>
      </c>
      <c r="K274" s="5">
        <f>D274*0.1*1.5</f>
        <v>60</v>
      </c>
      <c r="M274" s="5">
        <f>D274</f>
        <v>400</v>
      </c>
      <c r="O274" s="5" t="s">
        <v>68</v>
      </c>
      <c r="R274" s="2">
        <v>2</v>
      </c>
      <c r="U274" s="1" t="s">
        <v>68</v>
      </c>
    </row>
    <row r="275" spans="2:21" x14ac:dyDescent="0.35">
      <c r="B275" s="2">
        <f t="shared" ref="B275:B281" si="96">C274</f>
        <v>700</v>
      </c>
      <c r="C275" s="2">
        <v>1400</v>
      </c>
      <c r="D275" s="5">
        <f t="shared" si="94"/>
        <v>700</v>
      </c>
      <c r="F275" s="5">
        <f t="shared" si="95"/>
        <v>700</v>
      </c>
      <c r="J275" s="5">
        <f>D275*0.15*1.5</f>
        <v>157.5</v>
      </c>
      <c r="L275" s="5">
        <f>J275</f>
        <v>157.5</v>
      </c>
      <c r="R275" s="2">
        <v>2</v>
      </c>
      <c r="U275" s="1" t="s">
        <v>902</v>
      </c>
    </row>
    <row r="276" spans="2:21" x14ac:dyDescent="0.35">
      <c r="B276" s="2">
        <f t="shared" si="96"/>
        <v>1400</v>
      </c>
      <c r="C276" s="2">
        <v>1560</v>
      </c>
      <c r="D276" s="5">
        <f t="shared" si="94"/>
        <v>160</v>
      </c>
      <c r="F276" s="5">
        <f t="shared" si="95"/>
        <v>160</v>
      </c>
      <c r="J276" s="5">
        <f>D276*0.1*1.5</f>
        <v>24</v>
      </c>
      <c r="L276" s="5">
        <f>D276</f>
        <v>160</v>
      </c>
      <c r="R276" s="2">
        <v>1</v>
      </c>
    </row>
    <row r="277" spans="2:21" x14ac:dyDescent="0.35">
      <c r="B277" s="2">
        <f t="shared" si="96"/>
        <v>1560</v>
      </c>
      <c r="C277" s="2">
        <v>2000</v>
      </c>
      <c r="D277" s="5">
        <f t="shared" si="94"/>
        <v>440</v>
      </c>
      <c r="F277" s="5">
        <f t="shared" si="95"/>
        <v>440</v>
      </c>
      <c r="K277" s="5">
        <f>D277*0.1*1.5</f>
        <v>66</v>
      </c>
      <c r="M277" s="5">
        <f>D277</f>
        <v>440</v>
      </c>
      <c r="O277" s="2">
        <v>10</v>
      </c>
      <c r="R277" s="2">
        <v>2</v>
      </c>
    </row>
    <row r="278" spans="2:21" x14ac:dyDescent="0.35">
      <c r="B278" s="2">
        <f t="shared" si="96"/>
        <v>2000</v>
      </c>
      <c r="C278" s="2">
        <v>2170</v>
      </c>
      <c r="D278" s="5">
        <f t="shared" si="94"/>
        <v>170</v>
      </c>
      <c r="H278" s="5">
        <f>D278</f>
        <v>170</v>
      </c>
      <c r="L278" s="5">
        <f>D278</f>
        <v>170</v>
      </c>
      <c r="O278" s="2">
        <v>10</v>
      </c>
      <c r="Q278" s="2">
        <v>22</v>
      </c>
      <c r="U278" s="1" t="s">
        <v>903</v>
      </c>
    </row>
    <row r="279" spans="2:21" x14ac:dyDescent="0.35">
      <c r="B279" s="2">
        <f t="shared" si="96"/>
        <v>2170</v>
      </c>
      <c r="C279" s="2">
        <v>2190</v>
      </c>
      <c r="D279" s="5">
        <f t="shared" si="94"/>
        <v>20</v>
      </c>
      <c r="H279" s="5">
        <f>D279</f>
        <v>20</v>
      </c>
      <c r="L279" s="5">
        <f t="shared" ref="L279:L281" si="97">D279</f>
        <v>20</v>
      </c>
      <c r="O279" s="2">
        <v>8</v>
      </c>
    </row>
    <row r="280" spans="2:21" x14ac:dyDescent="0.35">
      <c r="B280" s="2">
        <f t="shared" si="96"/>
        <v>2190</v>
      </c>
      <c r="C280" s="2">
        <v>2250</v>
      </c>
      <c r="D280" s="5">
        <f t="shared" si="94"/>
        <v>60</v>
      </c>
      <c r="G280" s="5">
        <f>D280</f>
        <v>60</v>
      </c>
      <c r="L280" s="5">
        <f t="shared" si="97"/>
        <v>60</v>
      </c>
    </row>
    <row r="281" spans="2:21" x14ac:dyDescent="0.35">
      <c r="B281" s="2">
        <f t="shared" si="96"/>
        <v>2250</v>
      </c>
      <c r="C281" s="2">
        <v>2330</v>
      </c>
      <c r="D281" s="5">
        <f t="shared" si="94"/>
        <v>80</v>
      </c>
      <c r="F281" s="5">
        <f>D281</f>
        <v>80</v>
      </c>
      <c r="J281" s="5">
        <f>D281</f>
        <v>80</v>
      </c>
      <c r="L281" s="5">
        <f t="shared" si="97"/>
        <v>80</v>
      </c>
      <c r="U281" s="1" t="s">
        <v>904</v>
      </c>
    </row>
    <row r="282" spans="2:21" x14ac:dyDescent="0.35">
      <c r="B282" s="239" t="s">
        <v>849</v>
      </c>
      <c r="C282" s="239"/>
      <c r="D282" s="5">
        <f>SUM(D272:D281)</f>
        <v>2330</v>
      </c>
      <c r="E282" s="5">
        <f>SUM(E277:E281)</f>
        <v>0</v>
      </c>
      <c r="F282" s="5">
        <f>SUM(F273:F281)</f>
        <v>2080</v>
      </c>
      <c r="G282" s="5">
        <f>SUM(G272:G281)</f>
        <v>60</v>
      </c>
      <c r="H282" s="5">
        <f>SUM(H272:H281)</f>
        <v>190</v>
      </c>
      <c r="I282" s="5">
        <f>SUM(I279:I281)</f>
        <v>0</v>
      </c>
      <c r="J282" s="5">
        <f>SUM(J273:J281)</f>
        <v>329</v>
      </c>
      <c r="K282" s="5">
        <f>SUM(K274:K281)</f>
        <v>126</v>
      </c>
      <c r="L282" s="5">
        <f>SUM(L272:L281)</f>
        <v>715</v>
      </c>
      <c r="M282" s="5">
        <f>SUM(M274:M281)</f>
        <v>840</v>
      </c>
      <c r="N282" s="5">
        <f>SUM(N278:N281)</f>
        <v>0</v>
      </c>
      <c r="O282" s="5">
        <f>SUM(O273:O281)</f>
        <v>28</v>
      </c>
      <c r="P282" s="5">
        <v>20</v>
      </c>
      <c r="R282" s="5">
        <f>SUM(R273:R281)</f>
        <v>8</v>
      </c>
      <c r="U282" s="1" t="s">
        <v>905</v>
      </c>
    </row>
    <row r="283" spans="2:21" x14ac:dyDescent="0.35">
      <c r="B283" s="239" t="s">
        <v>851</v>
      </c>
      <c r="C283" s="239"/>
      <c r="E283" s="95">
        <f>Rates!$C$6*E282</f>
        <v>0</v>
      </c>
      <c r="F283" s="95">
        <f>Rates!$C$7*F282</f>
        <v>148571.42857142858</v>
      </c>
      <c r="G283" s="95">
        <f>Rates!$C$8*G282</f>
        <v>15000</v>
      </c>
      <c r="H283" s="95">
        <f>Rates!$C$9*H282</f>
        <v>95000</v>
      </c>
      <c r="I283" s="95">
        <f>Rates!$C$10*I282</f>
        <v>0</v>
      </c>
      <c r="J283" s="95">
        <f>Rates!$C$13*J282</f>
        <v>11515</v>
      </c>
      <c r="K283" s="95">
        <f>Rates!$C$16*K282</f>
        <v>30240</v>
      </c>
      <c r="L283" s="95">
        <f>Rates!$C$20*L282</f>
        <v>42900</v>
      </c>
      <c r="M283" s="95">
        <f>Rates!$C$26*M282</f>
        <v>90720</v>
      </c>
      <c r="O283" s="95">
        <f>Rates!$C$34*O282</f>
        <v>187600</v>
      </c>
      <c r="P283" s="95">
        <f>Rates!$C$35*P282</f>
        <v>35000</v>
      </c>
      <c r="Q283" s="95">
        <f>Q278*Rates!C43</f>
        <v>16500</v>
      </c>
      <c r="R283" s="95">
        <f>R282*Rates!$C$50</f>
        <v>18000</v>
      </c>
    </row>
    <row r="284" spans="2:21" x14ac:dyDescent="0.35">
      <c r="B284" s="240" t="s">
        <v>852</v>
      </c>
      <c r="C284" s="241"/>
      <c r="D284" s="146"/>
      <c r="E284" s="149"/>
      <c r="F284" s="146"/>
      <c r="G284" s="146"/>
      <c r="H284" s="146"/>
      <c r="I284" s="146"/>
      <c r="J284" s="146"/>
      <c r="K284" s="146"/>
      <c r="L284" s="149"/>
      <c r="M284" s="147">
        <f>SUM(E283:M283)</f>
        <v>433946.42857142858</v>
      </c>
    </row>
    <row r="285" spans="2:21" x14ac:dyDescent="0.35">
      <c r="B285" s="237" t="s">
        <v>284</v>
      </c>
      <c r="C285" s="238"/>
      <c r="D285" s="86"/>
      <c r="E285" s="148"/>
      <c r="F285" s="86"/>
      <c r="G285" s="86"/>
      <c r="H285" s="86"/>
      <c r="I285" s="86"/>
      <c r="J285" s="86"/>
      <c r="K285" s="86"/>
      <c r="L285" s="148"/>
      <c r="M285" s="86"/>
      <c r="N285" s="86"/>
      <c r="O285" s="86"/>
      <c r="P285" s="86"/>
      <c r="Q285" s="86"/>
      <c r="R285" s="86"/>
      <c r="S285" s="86"/>
      <c r="T285" s="150">
        <f>SUM(N283:T283)</f>
        <v>257100</v>
      </c>
    </row>
    <row r="286" spans="2:21" x14ac:dyDescent="0.35">
      <c r="D286" s="5"/>
      <c r="F286" s="5"/>
      <c r="J286" s="5"/>
      <c r="L286" s="5"/>
    </row>
    <row r="287" spans="2:21" x14ac:dyDescent="0.35">
      <c r="D287" s="5"/>
      <c r="F287" s="5"/>
      <c r="J287" s="5"/>
      <c r="L287" s="5"/>
    </row>
    <row r="288" spans="2:21" x14ac:dyDescent="0.35">
      <c r="B288" s="42"/>
      <c r="C288" s="42"/>
      <c r="E288" s="95"/>
      <c r="L288" s="95"/>
      <c r="T288" s="144"/>
    </row>
    <row r="289" spans="2:21" x14ac:dyDescent="0.35">
      <c r="B289" s="10" t="str">
        <f>Assessments!A376</f>
        <v>Barren Peak Spur Walk</v>
      </c>
    </row>
    <row r="290" spans="2:21" x14ac:dyDescent="0.35">
      <c r="B290" s="79" t="s">
        <v>834</v>
      </c>
      <c r="C290" s="80" t="s">
        <v>835</v>
      </c>
      <c r="D290" s="80" t="s">
        <v>836</v>
      </c>
      <c r="E290" s="233" t="s">
        <v>837</v>
      </c>
      <c r="F290" s="234"/>
      <c r="G290" s="234"/>
      <c r="H290" s="234"/>
      <c r="I290" s="235"/>
      <c r="J290" s="80" t="s">
        <v>677</v>
      </c>
      <c r="K290" s="80" t="s">
        <v>838</v>
      </c>
      <c r="L290" s="80" t="s">
        <v>839</v>
      </c>
      <c r="M290" s="80" t="s">
        <v>840</v>
      </c>
      <c r="N290" s="80" t="s">
        <v>711</v>
      </c>
      <c r="O290" s="80" t="s">
        <v>707</v>
      </c>
      <c r="P290" s="81" t="s">
        <v>841</v>
      </c>
      <c r="Q290" s="81" t="s">
        <v>842</v>
      </c>
      <c r="R290" s="236" t="s">
        <v>843</v>
      </c>
      <c r="S290" s="236"/>
      <c r="T290" s="236"/>
      <c r="U290" s="79" t="s">
        <v>844</v>
      </c>
    </row>
    <row r="291" spans="2:21" x14ac:dyDescent="0.35">
      <c r="B291" s="42"/>
      <c r="C291" s="82"/>
      <c r="E291" s="80" t="s">
        <v>666</v>
      </c>
      <c r="F291" s="80" t="s">
        <v>668</v>
      </c>
      <c r="G291" s="80" t="s">
        <v>670</v>
      </c>
      <c r="H291" s="80" t="s">
        <v>845</v>
      </c>
      <c r="I291" s="80" t="s">
        <v>846</v>
      </c>
      <c r="J291" s="82"/>
      <c r="K291" s="82"/>
      <c r="L291" s="82"/>
      <c r="M291" s="82"/>
      <c r="N291" s="82"/>
      <c r="O291" s="82"/>
      <c r="P291" s="82"/>
      <c r="Q291" s="82" t="s">
        <v>729</v>
      </c>
      <c r="R291" s="80">
        <v>750</v>
      </c>
      <c r="S291" s="80" t="s">
        <v>738</v>
      </c>
      <c r="T291" s="80" t="s">
        <v>739</v>
      </c>
    </row>
    <row r="292" spans="2:21" x14ac:dyDescent="0.35">
      <c r="B292" s="2">
        <v>0</v>
      </c>
      <c r="C292" s="2">
        <v>50</v>
      </c>
      <c r="D292" s="5">
        <f>C292-B292</f>
        <v>50</v>
      </c>
      <c r="F292" s="5">
        <f>D292</f>
        <v>50</v>
      </c>
      <c r="N292" s="2">
        <v>20</v>
      </c>
      <c r="Q292" s="2">
        <v>10</v>
      </c>
      <c r="U292" s="1" t="s">
        <v>906</v>
      </c>
    </row>
    <row r="293" spans="2:21" x14ac:dyDescent="0.35">
      <c r="B293" s="2">
        <f>C292</f>
        <v>50</v>
      </c>
      <c r="C293" s="2">
        <v>75</v>
      </c>
      <c r="D293" s="5">
        <f t="shared" ref="D293:D298" si="98">C293-B293</f>
        <v>25</v>
      </c>
      <c r="F293" s="5">
        <f t="shared" ref="F293:F295" si="99">D293</f>
        <v>25</v>
      </c>
      <c r="O293" s="5" t="s">
        <v>68</v>
      </c>
      <c r="Q293" s="2">
        <v>10</v>
      </c>
      <c r="U293" s="1" t="s">
        <v>907</v>
      </c>
    </row>
    <row r="294" spans="2:21" x14ac:dyDescent="0.35">
      <c r="B294" s="2">
        <f t="shared" ref="B294:B295" si="100">C293</f>
        <v>75</v>
      </c>
      <c r="C294" s="2">
        <v>105</v>
      </c>
      <c r="D294" s="5">
        <f t="shared" si="98"/>
        <v>30</v>
      </c>
      <c r="F294" s="5">
        <f t="shared" si="99"/>
        <v>30</v>
      </c>
      <c r="Q294" s="2" t="s">
        <v>68</v>
      </c>
    </row>
    <row r="295" spans="2:21" x14ac:dyDescent="0.35">
      <c r="B295" s="2">
        <f t="shared" si="100"/>
        <v>105</v>
      </c>
      <c r="C295" s="2">
        <v>120</v>
      </c>
      <c r="D295" s="5">
        <f t="shared" si="98"/>
        <v>15</v>
      </c>
      <c r="F295" s="5">
        <f t="shared" si="99"/>
        <v>15</v>
      </c>
      <c r="Q295" s="2">
        <v>20</v>
      </c>
      <c r="U295" s="1" t="s">
        <v>908</v>
      </c>
    </row>
    <row r="297" spans="2:21" x14ac:dyDescent="0.35">
      <c r="B297" s="2">
        <v>0</v>
      </c>
      <c r="C297" s="2">
        <v>275</v>
      </c>
      <c r="D297" s="5">
        <f t="shared" si="98"/>
        <v>275</v>
      </c>
      <c r="H297" s="5">
        <f>D297</f>
        <v>275</v>
      </c>
      <c r="K297" s="2">
        <f>D297*1.5*0.1</f>
        <v>41.25</v>
      </c>
      <c r="M297" s="5">
        <f>D297</f>
        <v>275</v>
      </c>
      <c r="U297" s="1" t="s">
        <v>909</v>
      </c>
    </row>
    <row r="298" spans="2:21" x14ac:dyDescent="0.35">
      <c r="B298" s="2">
        <f>C297</f>
        <v>275</v>
      </c>
      <c r="C298" s="2">
        <v>350</v>
      </c>
      <c r="D298" s="5">
        <f t="shared" si="98"/>
        <v>75</v>
      </c>
      <c r="H298" s="5">
        <f>D298</f>
        <v>75</v>
      </c>
      <c r="K298" s="2">
        <f>D298*1.5*0.1</f>
        <v>11.25</v>
      </c>
      <c r="M298" s="5">
        <f>D298</f>
        <v>75</v>
      </c>
      <c r="N298" s="2">
        <v>50</v>
      </c>
      <c r="Q298" s="2">
        <f>6*3</f>
        <v>18</v>
      </c>
      <c r="R298" s="2">
        <v>2</v>
      </c>
      <c r="U298" s="1" t="s">
        <v>910</v>
      </c>
    </row>
    <row r="299" spans="2:21" x14ac:dyDescent="0.35">
      <c r="B299" s="239" t="s">
        <v>849</v>
      </c>
      <c r="C299" s="239"/>
      <c r="D299" s="5">
        <f>SUM(D292:D298)</f>
        <v>470</v>
      </c>
      <c r="E299" s="5">
        <f>SUM(E294:E298)</f>
        <v>0</v>
      </c>
      <c r="F299" s="5">
        <f>SUM(F292:F298)</f>
        <v>120</v>
      </c>
      <c r="G299" s="5">
        <f>SUM(G289:G298)</f>
        <v>0</v>
      </c>
      <c r="H299" s="5">
        <f>SUM(H292:H298)</f>
        <v>350</v>
      </c>
      <c r="I299" s="5">
        <f>SUM(I296:I298)</f>
        <v>0</v>
      </c>
      <c r="J299" s="5">
        <f>SUM(J290:J298)</f>
        <v>0</v>
      </c>
      <c r="K299" s="5">
        <f>SUM(K291:K298)</f>
        <v>52.5</v>
      </c>
      <c r="L299" s="5">
        <f>SUM(L289:L298)</f>
        <v>0</v>
      </c>
      <c r="M299" s="5">
        <f>SUM(M291:M298)</f>
        <v>350</v>
      </c>
      <c r="N299" s="5">
        <f>SUM(N292:N298)</f>
        <v>70</v>
      </c>
      <c r="O299" s="5">
        <f>SUM(O290:O298)</f>
        <v>0</v>
      </c>
      <c r="P299" s="5">
        <f>SUM(P295:P298)</f>
        <v>0</v>
      </c>
      <c r="R299" s="5">
        <f>SUM(R295:R298)</f>
        <v>2</v>
      </c>
    </row>
    <row r="300" spans="2:21" x14ac:dyDescent="0.35">
      <c r="B300" s="239" t="s">
        <v>851</v>
      </c>
      <c r="C300" s="239"/>
      <c r="E300" s="95">
        <f>Rates!$C$6*E299</f>
        <v>0</v>
      </c>
      <c r="F300" s="95">
        <f>Rates!$C$7*F299</f>
        <v>8571.4285714285725</v>
      </c>
      <c r="G300" s="95">
        <f>Rates!$C$8*G299</f>
        <v>0</v>
      </c>
      <c r="H300" s="95">
        <f>Rates!$C$9*H299</f>
        <v>175000</v>
      </c>
      <c r="I300" s="95">
        <f>Rates!$C$10*I299</f>
        <v>0</v>
      </c>
      <c r="J300" s="95">
        <f>Rates!$C$13*J299</f>
        <v>0</v>
      </c>
      <c r="K300" s="95">
        <f>Rates!$C$16*K299</f>
        <v>12600</v>
      </c>
      <c r="L300" s="95">
        <f>Rates!$C$20*L299</f>
        <v>0</v>
      </c>
      <c r="M300" s="95">
        <f>Rates!$C$26*M299</f>
        <v>37800</v>
      </c>
      <c r="N300" s="95">
        <f>N299*Rates!$C$36</f>
        <v>31500</v>
      </c>
      <c r="O300" s="95">
        <f>Rates!$C$34*O299</f>
        <v>0</v>
      </c>
      <c r="P300" s="95">
        <f>Rates!$C$35*P299</f>
        <v>0</v>
      </c>
      <c r="Q300" s="95">
        <f>Q298*Rates!C38+(Q292+Q293+Q295)*Rates!C44</f>
        <v>169000</v>
      </c>
      <c r="R300" s="95">
        <f>R299*Rates!$C$50</f>
        <v>4500</v>
      </c>
    </row>
    <row r="301" spans="2:21" x14ac:dyDescent="0.35">
      <c r="B301" s="240" t="s">
        <v>852</v>
      </c>
      <c r="C301" s="241"/>
      <c r="D301" s="146"/>
      <c r="E301" s="149"/>
      <c r="F301" s="146"/>
      <c r="G301" s="146"/>
      <c r="H301" s="146"/>
      <c r="I301" s="146"/>
      <c r="J301" s="146"/>
      <c r="K301" s="146"/>
      <c r="L301" s="149"/>
      <c r="M301" s="147">
        <f>SUM(E300:M300)</f>
        <v>233971.42857142858</v>
      </c>
    </row>
    <row r="302" spans="2:21" x14ac:dyDescent="0.35">
      <c r="B302" s="237" t="s">
        <v>284</v>
      </c>
      <c r="C302" s="238"/>
      <c r="D302" s="86"/>
      <c r="E302" s="148"/>
      <c r="F302" s="86"/>
      <c r="G302" s="86"/>
      <c r="H302" s="86"/>
      <c r="I302" s="86"/>
      <c r="J302" s="86"/>
      <c r="K302" s="86"/>
      <c r="L302" s="148"/>
      <c r="M302" s="86"/>
      <c r="N302" s="86"/>
      <c r="O302" s="86"/>
      <c r="P302" s="86"/>
      <c r="Q302" s="86"/>
      <c r="R302" s="86"/>
      <c r="S302" s="86"/>
      <c r="T302" s="150">
        <f>SUM(N300:T300)</f>
        <v>205000</v>
      </c>
    </row>
    <row r="304" spans="2:21" x14ac:dyDescent="0.35">
      <c r="U304" s="2"/>
    </row>
    <row r="306" spans="2:21" x14ac:dyDescent="0.35">
      <c r="B306" s="10" t="s">
        <v>911</v>
      </c>
    </row>
    <row r="307" spans="2:21" x14ac:dyDescent="0.35">
      <c r="B307" s="79" t="s">
        <v>834</v>
      </c>
      <c r="C307" s="80" t="s">
        <v>835</v>
      </c>
      <c r="D307" s="80" t="s">
        <v>836</v>
      </c>
      <c r="E307" s="233" t="s">
        <v>837</v>
      </c>
      <c r="F307" s="234"/>
      <c r="G307" s="234"/>
      <c r="H307" s="234"/>
      <c r="I307" s="235"/>
      <c r="J307" s="80" t="s">
        <v>677</v>
      </c>
      <c r="K307" s="80" t="s">
        <v>838</v>
      </c>
      <c r="L307" s="80" t="s">
        <v>839</v>
      </c>
      <c r="M307" s="80" t="s">
        <v>840</v>
      </c>
      <c r="N307" s="80" t="s">
        <v>711</v>
      </c>
      <c r="O307" s="80" t="s">
        <v>707</v>
      </c>
      <c r="P307" s="81" t="s">
        <v>841</v>
      </c>
      <c r="Q307" s="81" t="s">
        <v>842</v>
      </c>
      <c r="R307" s="236" t="s">
        <v>843</v>
      </c>
      <c r="S307" s="236"/>
      <c r="T307" s="236"/>
      <c r="U307" s="79" t="s">
        <v>844</v>
      </c>
    </row>
    <row r="308" spans="2:21" x14ac:dyDescent="0.35">
      <c r="B308" s="42"/>
      <c r="C308" s="82"/>
      <c r="E308" s="80" t="s">
        <v>666</v>
      </c>
      <c r="F308" s="80" t="s">
        <v>668</v>
      </c>
      <c r="G308" s="80" t="s">
        <v>670</v>
      </c>
      <c r="H308" s="80" t="s">
        <v>845</v>
      </c>
      <c r="I308" s="80" t="s">
        <v>846</v>
      </c>
      <c r="J308" s="82"/>
      <c r="K308" s="82"/>
      <c r="L308" s="82"/>
      <c r="M308" s="82"/>
      <c r="N308" s="82"/>
      <c r="O308" s="82"/>
      <c r="P308" s="82"/>
      <c r="Q308" s="82"/>
      <c r="R308" s="80">
        <v>750</v>
      </c>
      <c r="S308" s="80" t="s">
        <v>738</v>
      </c>
      <c r="T308" s="80" t="s">
        <v>739</v>
      </c>
    </row>
    <row r="309" spans="2:21" x14ac:dyDescent="0.35">
      <c r="B309" s="2">
        <v>0</v>
      </c>
      <c r="C309" s="2">
        <v>625</v>
      </c>
      <c r="D309" s="5">
        <f>C309-B309</f>
        <v>625</v>
      </c>
      <c r="F309" s="5">
        <f>D309</f>
        <v>625</v>
      </c>
      <c r="M309" s="5">
        <f>D309</f>
        <v>625</v>
      </c>
      <c r="R309" s="2">
        <f>D309/50</f>
        <v>12.5</v>
      </c>
      <c r="U309" s="1" t="s">
        <v>912</v>
      </c>
    </row>
    <row r="310" spans="2:21" x14ac:dyDescent="0.35">
      <c r="B310" s="2">
        <f>C309</f>
        <v>625</v>
      </c>
      <c r="C310" s="2">
        <v>650</v>
      </c>
      <c r="D310" s="5">
        <f t="shared" ref="D310:D313" si="101">C310-B310</f>
        <v>25</v>
      </c>
      <c r="M310" s="5">
        <f t="shared" ref="M310:M312" si="102">D310</f>
        <v>25</v>
      </c>
      <c r="O310" s="5">
        <f>D310</f>
        <v>25</v>
      </c>
      <c r="U310" s="1" t="s">
        <v>729</v>
      </c>
    </row>
    <row r="311" spans="2:21" x14ac:dyDescent="0.35">
      <c r="B311" s="2">
        <f t="shared" ref="B311:B312" si="103">C310</f>
        <v>650</v>
      </c>
      <c r="C311" s="2">
        <v>810</v>
      </c>
      <c r="D311" s="5">
        <f t="shared" si="101"/>
        <v>160</v>
      </c>
      <c r="H311" s="5">
        <f>D311</f>
        <v>160</v>
      </c>
      <c r="M311" s="5">
        <f t="shared" si="102"/>
        <v>160</v>
      </c>
      <c r="U311" s="1" t="s">
        <v>913</v>
      </c>
    </row>
    <row r="312" spans="2:21" x14ac:dyDescent="0.35">
      <c r="B312" s="2">
        <f t="shared" si="103"/>
        <v>810</v>
      </c>
      <c r="C312" s="2">
        <v>870</v>
      </c>
      <c r="D312" s="5">
        <f t="shared" si="101"/>
        <v>60</v>
      </c>
      <c r="M312" s="5">
        <f t="shared" si="102"/>
        <v>60</v>
      </c>
      <c r="O312" s="5">
        <f>D312</f>
        <v>60</v>
      </c>
      <c r="Q312" s="2">
        <f>6*3</f>
        <v>18</v>
      </c>
      <c r="U312" s="1" t="s">
        <v>914</v>
      </c>
    </row>
    <row r="313" spans="2:21" x14ac:dyDescent="0.35">
      <c r="B313" s="2">
        <v>0</v>
      </c>
      <c r="C313" s="2">
        <v>120</v>
      </c>
      <c r="D313" s="5">
        <f t="shared" si="101"/>
        <v>120</v>
      </c>
      <c r="F313" s="5">
        <f>D313</f>
        <v>120</v>
      </c>
      <c r="M313" s="5">
        <v>120</v>
      </c>
      <c r="O313" s="5"/>
      <c r="U313" s="1" t="s">
        <v>915</v>
      </c>
    </row>
    <row r="314" spans="2:21" x14ac:dyDescent="0.35">
      <c r="D314" s="5"/>
      <c r="M314" s="5"/>
      <c r="O314" s="5"/>
    </row>
    <row r="315" spans="2:21" x14ac:dyDescent="0.35">
      <c r="B315" s="239" t="s">
        <v>849</v>
      </c>
      <c r="C315" s="239"/>
      <c r="D315" s="5">
        <f>SUM(D309:D313)</f>
        <v>990</v>
      </c>
      <c r="E315" s="5">
        <f>SUM(E308:E312)</f>
        <v>0</v>
      </c>
      <c r="F315" s="5">
        <f>SUM(F309:F313)</f>
        <v>745</v>
      </c>
      <c r="G315" s="5">
        <f>SUM(G303:G312)</f>
        <v>0</v>
      </c>
      <c r="H315" s="5">
        <f>SUM(H309:H312)</f>
        <v>160</v>
      </c>
      <c r="I315" s="5">
        <f>SUM(I310:I312)</f>
        <v>0</v>
      </c>
      <c r="J315" s="5">
        <f>SUM(J304:J312)</f>
        <v>0</v>
      </c>
      <c r="K315" s="5">
        <f>SUM(K305:K312)</f>
        <v>0</v>
      </c>
      <c r="L315" s="5">
        <f>SUM(L303:L312)</f>
        <v>0</v>
      </c>
      <c r="M315" s="5">
        <f>SUM(M309:M313)</f>
        <v>990</v>
      </c>
      <c r="N315" s="5">
        <f>SUM(N306:N312)</f>
        <v>0</v>
      </c>
      <c r="O315" s="5">
        <f>SUM(O309:O312)</f>
        <v>85</v>
      </c>
      <c r="P315" s="5">
        <f>SUM(P309:P312)</f>
        <v>0</v>
      </c>
      <c r="R315" s="5">
        <f>SUM(R309:R312)</f>
        <v>12.5</v>
      </c>
    </row>
    <row r="316" spans="2:21" x14ac:dyDescent="0.35">
      <c r="B316" s="239" t="s">
        <v>851</v>
      </c>
      <c r="C316" s="239"/>
      <c r="E316" s="95">
        <f>Rates!$C$6*E315</f>
        <v>0</v>
      </c>
      <c r="F316" s="95">
        <f>Rates!$C$7*F315</f>
        <v>53214.285714285717</v>
      </c>
      <c r="G316" s="95">
        <f>Rates!$C$8*G315</f>
        <v>0</v>
      </c>
      <c r="H316" s="95">
        <f>Rates!$C$9*H315+2*3600</f>
        <v>87200</v>
      </c>
      <c r="I316" s="95">
        <f>Rates!$C$10*I315</f>
        <v>0</v>
      </c>
      <c r="J316" s="95">
        <f>Rates!$C$13*J315</f>
        <v>0</v>
      </c>
      <c r="K316" s="95">
        <f>Rates!$C$16*K315</f>
        <v>0</v>
      </c>
      <c r="L316" s="95">
        <f>Rates!$C$20*L315</f>
        <v>0</v>
      </c>
      <c r="M316" s="95">
        <f>Rates!$C$27*M315</f>
        <v>95040</v>
      </c>
      <c r="N316" s="95">
        <f>N315*Rates!$C$36</f>
        <v>0</v>
      </c>
      <c r="O316" s="95">
        <f>Rates!$C$34*O315+4*3600</f>
        <v>583900</v>
      </c>
      <c r="P316" s="95">
        <f>Rates!$C$35*P315</f>
        <v>0</v>
      </c>
      <c r="Q316" s="95">
        <f>Q312*Rates!C38</f>
        <v>99000</v>
      </c>
      <c r="R316" s="95">
        <f>R315*Rates!$C$50</f>
        <v>28125</v>
      </c>
    </row>
    <row r="317" spans="2:21" x14ac:dyDescent="0.35">
      <c r="B317" s="240" t="s">
        <v>852</v>
      </c>
      <c r="C317" s="241"/>
      <c r="D317" s="146"/>
      <c r="E317" s="149"/>
      <c r="F317" s="146"/>
      <c r="G317" s="146"/>
      <c r="H317" s="146"/>
      <c r="I317" s="146"/>
      <c r="J317" s="146"/>
      <c r="K317" s="146"/>
      <c r="L317" s="149"/>
      <c r="M317" s="147">
        <f>SUM(E316:M316)</f>
        <v>235454.28571428571</v>
      </c>
    </row>
    <row r="318" spans="2:21" x14ac:dyDescent="0.35">
      <c r="B318" s="237" t="s">
        <v>284</v>
      </c>
      <c r="C318" s="238"/>
      <c r="D318" s="86"/>
      <c r="E318" s="148"/>
      <c r="F318" s="86"/>
      <c r="G318" s="86"/>
      <c r="H318" s="86"/>
      <c r="I318" s="86"/>
      <c r="J318" s="86"/>
      <c r="K318" s="86"/>
      <c r="L318" s="148"/>
      <c r="M318" s="86"/>
      <c r="N318" s="86"/>
      <c r="O318" s="86"/>
      <c r="P318" s="86"/>
      <c r="Q318" s="86"/>
      <c r="R318" s="86"/>
      <c r="S318" s="86"/>
      <c r="T318" s="150">
        <f>SUM(N316:T316)</f>
        <v>711025</v>
      </c>
    </row>
    <row r="319" spans="2:21" x14ac:dyDescent="0.35">
      <c r="B319" s="42"/>
      <c r="C319" s="42"/>
      <c r="E319" s="95"/>
      <c r="L319" s="95"/>
      <c r="T319" s="144"/>
    </row>
    <row r="320" spans="2:21" x14ac:dyDescent="0.35">
      <c r="B320" s="10" t="s">
        <v>916</v>
      </c>
      <c r="C320" s="42"/>
      <c r="E320" s="95"/>
      <c r="L320" s="95"/>
      <c r="T320" s="144"/>
    </row>
    <row r="321" spans="2:21" x14ac:dyDescent="0.35">
      <c r="B321" s="42"/>
      <c r="C321" s="42"/>
      <c r="E321" s="95"/>
      <c r="F321" s="95">
        <f>F313*Rates!C7</f>
        <v>8571.4285714285725</v>
      </c>
      <c r="L321" s="95"/>
      <c r="M321" s="95">
        <f>M313*Rates!C27</f>
        <v>11520</v>
      </c>
      <c r="T321" s="144"/>
    </row>
    <row r="322" spans="2:21" x14ac:dyDescent="0.35">
      <c r="B322" s="240" t="s">
        <v>852</v>
      </c>
      <c r="C322" s="241"/>
      <c r="D322" s="146"/>
      <c r="E322" s="149"/>
      <c r="F322" s="146"/>
      <c r="G322" s="146"/>
      <c r="H322" s="146"/>
      <c r="I322" s="146"/>
      <c r="J322" s="146"/>
      <c r="K322" s="146"/>
      <c r="L322" s="149"/>
      <c r="M322" s="147">
        <f>SUM(E321:M321)</f>
        <v>20091.428571428572</v>
      </c>
      <c r="T322" s="144"/>
    </row>
    <row r="324" spans="2:21" x14ac:dyDescent="0.35">
      <c r="B324" s="10" t="str">
        <f>Assessments!A427</f>
        <v>Hine-te-awa Bowen Falls short walks - Lower walk</v>
      </c>
    </row>
    <row r="325" spans="2:21" x14ac:dyDescent="0.35">
      <c r="B325" s="79" t="s">
        <v>834</v>
      </c>
      <c r="C325" s="80" t="s">
        <v>835</v>
      </c>
      <c r="D325" s="80" t="s">
        <v>836</v>
      </c>
      <c r="E325" s="233" t="s">
        <v>837</v>
      </c>
      <c r="F325" s="234"/>
      <c r="G325" s="234"/>
      <c r="H325" s="234"/>
      <c r="I325" s="235"/>
      <c r="J325" s="80" t="s">
        <v>677</v>
      </c>
      <c r="K325" s="80" t="s">
        <v>838</v>
      </c>
      <c r="L325" s="80" t="s">
        <v>839</v>
      </c>
      <c r="M325" s="80" t="s">
        <v>840</v>
      </c>
      <c r="N325" s="80" t="s">
        <v>711</v>
      </c>
      <c r="O325" s="80" t="s">
        <v>707</v>
      </c>
      <c r="P325" s="81" t="s">
        <v>841</v>
      </c>
      <c r="Q325" s="81" t="s">
        <v>842</v>
      </c>
      <c r="R325" s="236" t="s">
        <v>843</v>
      </c>
      <c r="S325" s="236"/>
      <c r="T325" s="236"/>
      <c r="U325" s="79" t="s">
        <v>844</v>
      </c>
    </row>
    <row r="326" spans="2:21" x14ac:dyDescent="0.35">
      <c r="B326" s="42"/>
      <c r="C326" s="82"/>
      <c r="E326" s="80" t="s">
        <v>666</v>
      </c>
      <c r="F326" s="80" t="s">
        <v>668</v>
      </c>
      <c r="G326" s="80" t="s">
        <v>670</v>
      </c>
      <c r="H326" s="80" t="s">
        <v>845</v>
      </c>
      <c r="I326" s="80" t="s">
        <v>846</v>
      </c>
      <c r="J326" s="82"/>
      <c r="K326" s="82"/>
      <c r="L326" s="82"/>
      <c r="M326" s="82"/>
      <c r="N326" s="82"/>
      <c r="O326" s="82"/>
      <c r="P326" s="82"/>
      <c r="Q326" s="82"/>
      <c r="R326" s="80">
        <v>750</v>
      </c>
      <c r="S326" s="80" t="s">
        <v>738</v>
      </c>
      <c r="T326" s="80" t="s">
        <v>739</v>
      </c>
    </row>
    <row r="327" spans="2:21" x14ac:dyDescent="0.35">
      <c r="B327" s="2">
        <v>0</v>
      </c>
      <c r="C327" s="2">
        <v>155</v>
      </c>
      <c r="D327" s="5">
        <f>C327-B327</f>
        <v>155</v>
      </c>
      <c r="F327" s="5" t="s">
        <v>68</v>
      </c>
      <c r="O327" s="5">
        <f>D327</f>
        <v>155</v>
      </c>
      <c r="U327" s="1" t="s">
        <v>917</v>
      </c>
    </row>
    <row r="328" spans="2:21" x14ac:dyDescent="0.35">
      <c r="B328" s="2">
        <v>0</v>
      </c>
      <c r="C328" s="2">
        <v>175</v>
      </c>
      <c r="D328" s="5">
        <f>C328-B328</f>
        <v>175</v>
      </c>
      <c r="E328" s="5">
        <f>D328</f>
        <v>175</v>
      </c>
      <c r="J328" s="2">
        <f>D328*2*0.15</f>
        <v>52.5</v>
      </c>
      <c r="L328" s="5">
        <f>D328</f>
        <v>175</v>
      </c>
      <c r="P328" s="2">
        <v>60</v>
      </c>
      <c r="U328" s="1" t="s">
        <v>918</v>
      </c>
    </row>
    <row r="329" spans="2:21" x14ac:dyDescent="0.35">
      <c r="B329" s="239" t="s">
        <v>849</v>
      </c>
      <c r="C329" s="239"/>
      <c r="D329" s="5">
        <f>SUM(D327:D328)</f>
        <v>330</v>
      </c>
      <c r="E329" s="5">
        <f>SUM(E324:E328)</f>
        <v>175</v>
      </c>
      <c r="F329" s="5">
        <f>SUM(F328)</f>
        <v>0</v>
      </c>
      <c r="G329" s="5">
        <f>SUM(G315:G328)</f>
        <v>0</v>
      </c>
      <c r="H329" s="5">
        <f>SUM(H327:H328)</f>
        <v>0</v>
      </c>
      <c r="I329" s="5">
        <f>SUM(I326:I328)</f>
        <v>0</v>
      </c>
      <c r="J329" s="5">
        <f>SUM(J326:J328)</f>
        <v>52.5</v>
      </c>
      <c r="K329" s="5">
        <f>SUM(K317:K328)</f>
        <v>0</v>
      </c>
      <c r="L329" s="5">
        <f>SUM(L327:L328)</f>
        <v>175</v>
      </c>
      <c r="M329" s="5">
        <f>SUM(M327:M328)</f>
        <v>0</v>
      </c>
      <c r="N329" s="5">
        <f>SUM(N318:N328)</f>
        <v>0</v>
      </c>
      <c r="O329" s="5">
        <f>SUM(O327:O328)</f>
        <v>155</v>
      </c>
      <c r="P329" s="5">
        <f>SUM(P327:P328)</f>
        <v>60</v>
      </c>
      <c r="R329" s="5">
        <f>SUM(R327:R328)</f>
        <v>0</v>
      </c>
    </row>
    <row r="330" spans="2:21" x14ac:dyDescent="0.35">
      <c r="B330" s="239" t="s">
        <v>851</v>
      </c>
      <c r="C330" s="239"/>
      <c r="E330" s="95">
        <f>Rates!$C$6*E329</f>
        <v>5833.3333333333339</v>
      </c>
      <c r="F330" s="95">
        <f>Rates!$C$7*F329</f>
        <v>0</v>
      </c>
      <c r="G330" s="95">
        <f>Rates!$C$8*G329</f>
        <v>0</v>
      </c>
      <c r="H330" s="95">
        <f>Rates!$C$9*H329</f>
        <v>0</v>
      </c>
      <c r="I330" s="95">
        <f>Rates!$C$10*I329</f>
        <v>0</v>
      </c>
      <c r="J330" s="95">
        <f>Rates!$C$13*J329</f>
        <v>1837.5</v>
      </c>
      <c r="K330" s="95">
        <f>Rates!$C$16*K329</f>
        <v>0</v>
      </c>
      <c r="L330" s="95">
        <f>Rates!$C$20*L329</f>
        <v>10500</v>
      </c>
      <c r="M330" s="95">
        <f>Rates!$C$26*M329</f>
        <v>0</v>
      </c>
      <c r="N330" s="95">
        <f>N329*Rates!$C$36</f>
        <v>0</v>
      </c>
      <c r="O330" s="95">
        <f>Rates!$C$34*O329</f>
        <v>1038500</v>
      </c>
      <c r="P330" s="95">
        <f>Rates!$C$35*P329</f>
        <v>105000</v>
      </c>
      <c r="Q330" s="95">
        <f>Q328*Rates!C48</f>
        <v>0</v>
      </c>
      <c r="R330" s="95">
        <f>R329*Rates!$C$50</f>
        <v>0</v>
      </c>
    </row>
    <row r="331" spans="2:21" x14ac:dyDescent="0.35">
      <c r="B331" s="240" t="s">
        <v>852</v>
      </c>
      <c r="C331" s="241"/>
      <c r="D331" s="146"/>
      <c r="E331" s="149"/>
      <c r="F331" s="146"/>
      <c r="G331" s="146"/>
      <c r="H331" s="146"/>
      <c r="I331" s="146"/>
      <c r="J331" s="146"/>
      <c r="K331" s="146"/>
      <c r="L331" s="149"/>
      <c r="M331" s="147">
        <f>SUM(E330:M330)</f>
        <v>18170.833333333336</v>
      </c>
    </row>
    <row r="332" spans="2:21" x14ac:dyDescent="0.35">
      <c r="B332" s="237" t="s">
        <v>284</v>
      </c>
      <c r="C332" s="238"/>
      <c r="D332" s="86"/>
      <c r="E332" s="148"/>
      <c r="F332" s="86"/>
      <c r="G332" s="86"/>
      <c r="H332" s="86"/>
      <c r="I332" s="86"/>
      <c r="J332" s="86"/>
      <c r="K332" s="86"/>
      <c r="L332" s="148"/>
      <c r="M332" s="86"/>
      <c r="N332" s="86"/>
      <c r="O332" s="86"/>
      <c r="P332" s="86"/>
      <c r="Q332" s="86"/>
      <c r="R332" s="86"/>
      <c r="S332" s="86"/>
      <c r="T332" s="150">
        <f>SUM(N330:T330)</f>
        <v>1143500</v>
      </c>
    </row>
    <row r="334" spans="2:21" x14ac:dyDescent="0.35">
      <c r="B334" s="10" t="s">
        <v>919</v>
      </c>
    </row>
    <row r="335" spans="2:21" x14ac:dyDescent="0.35">
      <c r="B335" s="79" t="s">
        <v>834</v>
      </c>
      <c r="C335" s="80" t="s">
        <v>835</v>
      </c>
      <c r="D335" s="80" t="s">
        <v>836</v>
      </c>
      <c r="E335" s="233" t="s">
        <v>837</v>
      </c>
      <c r="F335" s="234"/>
      <c r="G335" s="234"/>
      <c r="H335" s="234"/>
      <c r="I335" s="235"/>
      <c r="J335" s="80" t="s">
        <v>677</v>
      </c>
      <c r="K335" s="80" t="s">
        <v>838</v>
      </c>
      <c r="L335" s="80" t="s">
        <v>839</v>
      </c>
      <c r="M335" s="80" t="s">
        <v>840</v>
      </c>
      <c r="N335" s="80" t="s">
        <v>711</v>
      </c>
      <c r="O335" s="80" t="s">
        <v>707</v>
      </c>
      <c r="P335" s="81" t="s">
        <v>841</v>
      </c>
      <c r="Q335" s="81" t="s">
        <v>842</v>
      </c>
      <c r="R335" s="236" t="s">
        <v>843</v>
      </c>
      <c r="S335" s="236"/>
      <c r="T335" s="236"/>
      <c r="U335" s="79" t="s">
        <v>844</v>
      </c>
    </row>
    <row r="336" spans="2:21" x14ac:dyDescent="0.35">
      <c r="B336" s="42"/>
      <c r="C336" s="82"/>
      <c r="E336" s="80" t="s">
        <v>666</v>
      </c>
      <c r="F336" s="80" t="s">
        <v>668</v>
      </c>
      <c r="G336" s="80" t="s">
        <v>670</v>
      </c>
      <c r="H336" s="80" t="s">
        <v>845</v>
      </c>
      <c r="I336" s="80" t="s">
        <v>846</v>
      </c>
      <c r="J336" s="82"/>
      <c r="K336" s="82"/>
      <c r="L336" s="82"/>
      <c r="M336" s="82"/>
      <c r="N336" s="82"/>
      <c r="O336" s="82"/>
      <c r="P336" s="82"/>
      <c r="Q336" s="82"/>
      <c r="R336" s="80">
        <v>750</v>
      </c>
      <c r="S336" s="80" t="s">
        <v>738</v>
      </c>
      <c r="T336" s="80" t="s">
        <v>739</v>
      </c>
    </row>
    <row r="337" spans="2:21" x14ac:dyDescent="0.35">
      <c r="B337" s="2">
        <v>0</v>
      </c>
      <c r="C337" s="2">
        <v>30</v>
      </c>
      <c r="D337" s="5">
        <f>C337-B337</f>
        <v>30</v>
      </c>
      <c r="E337" s="5">
        <f>D337</f>
        <v>30</v>
      </c>
      <c r="F337" s="5" t="s">
        <v>68</v>
      </c>
      <c r="J337" s="2">
        <f>D337*2*0.3</f>
        <v>18</v>
      </c>
      <c r="O337" s="5" t="s">
        <v>68</v>
      </c>
      <c r="U337" s="1" t="s">
        <v>920</v>
      </c>
    </row>
    <row r="338" spans="2:21" x14ac:dyDescent="0.35">
      <c r="B338" s="2">
        <f>C337</f>
        <v>30</v>
      </c>
      <c r="C338" s="2">
        <v>60</v>
      </c>
      <c r="D338" s="5">
        <f t="shared" ref="D338:D342" si="104">C338-B338</f>
        <v>30</v>
      </c>
      <c r="O338" s="5">
        <f>D338</f>
        <v>30</v>
      </c>
      <c r="U338" s="1" t="s">
        <v>921</v>
      </c>
    </row>
    <row r="339" spans="2:21" x14ac:dyDescent="0.35">
      <c r="B339" s="2">
        <f t="shared" ref="B339:B342" si="105">C338</f>
        <v>60</v>
      </c>
      <c r="C339" s="2">
        <v>75</v>
      </c>
      <c r="D339" s="5">
        <f t="shared" si="104"/>
        <v>15</v>
      </c>
      <c r="H339" s="5">
        <f>D339</f>
        <v>15</v>
      </c>
      <c r="M339" s="5">
        <f>D339</f>
        <v>15</v>
      </c>
      <c r="U339" s="1" t="s">
        <v>922</v>
      </c>
    </row>
    <row r="340" spans="2:21" x14ac:dyDescent="0.35">
      <c r="B340" s="2">
        <f t="shared" si="105"/>
        <v>75</v>
      </c>
      <c r="C340" s="2">
        <v>85</v>
      </c>
      <c r="D340" s="5">
        <f t="shared" si="104"/>
        <v>10</v>
      </c>
      <c r="O340" s="5">
        <f>D340</f>
        <v>10</v>
      </c>
      <c r="U340" s="1" t="s">
        <v>921</v>
      </c>
    </row>
    <row r="341" spans="2:21" x14ac:dyDescent="0.35">
      <c r="B341" s="2">
        <f t="shared" si="105"/>
        <v>85</v>
      </c>
      <c r="C341" s="2">
        <v>100</v>
      </c>
      <c r="D341" s="5">
        <f t="shared" si="104"/>
        <v>15</v>
      </c>
      <c r="H341" s="5">
        <f>D341</f>
        <v>15</v>
      </c>
      <c r="M341" s="5">
        <f>D341</f>
        <v>15</v>
      </c>
    </row>
    <row r="342" spans="2:21" x14ac:dyDescent="0.35">
      <c r="B342" s="2">
        <f t="shared" si="105"/>
        <v>100</v>
      </c>
      <c r="C342" s="2">
        <v>120</v>
      </c>
      <c r="D342" s="5">
        <f t="shared" si="104"/>
        <v>20</v>
      </c>
      <c r="O342" s="5">
        <f>D342</f>
        <v>20</v>
      </c>
      <c r="Q342" s="2">
        <f>6*3</f>
        <v>18</v>
      </c>
      <c r="U342" s="1" t="s">
        <v>923</v>
      </c>
    </row>
    <row r="343" spans="2:21" x14ac:dyDescent="0.35">
      <c r="B343" s="239" t="s">
        <v>849</v>
      </c>
      <c r="C343" s="239"/>
      <c r="D343" s="5">
        <f>SUM(D337:D342)</f>
        <v>120</v>
      </c>
      <c r="E343" s="5">
        <f>SUM(E337:E342)</f>
        <v>30</v>
      </c>
      <c r="F343" s="5">
        <f>SUM(F336:F342)</f>
        <v>0</v>
      </c>
      <c r="G343" s="5">
        <f>SUM(G333:G342)</f>
        <v>0</v>
      </c>
      <c r="H343" s="5">
        <f>SUM(H339:H342)*2</f>
        <v>60</v>
      </c>
      <c r="I343" s="5">
        <f>SUM(I340:I342)</f>
        <v>0</v>
      </c>
      <c r="J343" s="5">
        <f>SUM(J337:J342)</f>
        <v>18</v>
      </c>
      <c r="K343" s="5">
        <f>SUM(K335:K342)</f>
        <v>0</v>
      </c>
      <c r="L343" s="5">
        <f>SUM(L341:L342)</f>
        <v>0</v>
      </c>
      <c r="M343" s="5">
        <f>SUM(M337:M342)</f>
        <v>30</v>
      </c>
      <c r="N343" s="5">
        <f>SUM(N336:N342)</f>
        <v>0</v>
      </c>
      <c r="O343" s="5">
        <f>SUM(O337:O342)</f>
        <v>60</v>
      </c>
      <c r="P343" s="5">
        <f>SUM(P339:P342)</f>
        <v>0</v>
      </c>
      <c r="R343" s="5">
        <f>SUM(R337:R342)</f>
        <v>0</v>
      </c>
    </row>
    <row r="344" spans="2:21" x14ac:dyDescent="0.35">
      <c r="B344" s="239" t="s">
        <v>851</v>
      </c>
      <c r="C344" s="239"/>
      <c r="E344" s="95">
        <f>Rates!$C$6*E343</f>
        <v>1000.0000000000001</v>
      </c>
      <c r="F344" s="95">
        <f>Rates!$C$7*F343</f>
        <v>0</v>
      </c>
      <c r="G344" s="95">
        <f>Rates!$C$8*G343</f>
        <v>0</v>
      </c>
      <c r="H344" s="95">
        <f>Rates!$C$9*H343</f>
        <v>30000</v>
      </c>
      <c r="I344" s="95">
        <f>Rates!$C$10*I343</f>
        <v>0</v>
      </c>
      <c r="J344" s="95">
        <f>Rates!$C$13*J343</f>
        <v>630</v>
      </c>
      <c r="K344" s="95">
        <f>Rates!$C$16*K343</f>
        <v>0</v>
      </c>
      <c r="L344" s="95">
        <f>Rates!$C$20*L343</f>
        <v>0</v>
      </c>
      <c r="M344" s="95">
        <f>Rates!$C$26*M343+3600</f>
        <v>6840</v>
      </c>
      <c r="N344" s="95">
        <f>N343*Rates!$C$36</f>
        <v>0</v>
      </c>
      <c r="O344" s="95">
        <f>Rates!$C$34*O343</f>
        <v>402000</v>
      </c>
      <c r="P344" s="95">
        <f>Rates!$C$35*P343</f>
        <v>0</v>
      </c>
      <c r="Q344" s="95">
        <f>Q342*Rates!C62</f>
        <v>270000</v>
      </c>
      <c r="R344" s="95">
        <f>R343*Rates!$C$50</f>
        <v>0</v>
      </c>
    </row>
    <row r="345" spans="2:21" x14ac:dyDescent="0.35">
      <c r="B345" s="240" t="s">
        <v>852</v>
      </c>
      <c r="C345" s="241"/>
      <c r="D345" s="146"/>
      <c r="E345" s="149"/>
      <c r="F345" s="146"/>
      <c r="G345" s="146"/>
      <c r="H345" s="146"/>
      <c r="I345" s="146"/>
      <c r="J345" s="146"/>
      <c r="K345" s="146"/>
      <c r="L345" s="149"/>
      <c r="M345" s="147">
        <f>SUM(E344:M344)</f>
        <v>38470</v>
      </c>
    </row>
    <row r="346" spans="2:21" x14ac:dyDescent="0.35">
      <c r="B346" s="237" t="s">
        <v>284</v>
      </c>
      <c r="C346" s="238"/>
      <c r="D346" s="86"/>
      <c r="E346" s="148"/>
      <c r="F346" s="86"/>
      <c r="G346" s="86"/>
      <c r="H346" s="86"/>
      <c r="I346" s="86"/>
      <c r="J346" s="86"/>
      <c r="K346" s="86"/>
      <c r="L346" s="148"/>
      <c r="M346" s="86"/>
      <c r="N346" s="86"/>
      <c r="O346" s="86"/>
      <c r="P346" s="86"/>
      <c r="Q346" s="86"/>
      <c r="R346" s="86"/>
      <c r="S346" s="86"/>
      <c r="T346" s="150">
        <f>SUM(N344:T344)</f>
        <v>672000</v>
      </c>
    </row>
    <row r="347" spans="2:21" x14ac:dyDescent="0.35">
      <c r="D347" s="5"/>
      <c r="O347" s="5"/>
    </row>
    <row r="349" spans="2:21" x14ac:dyDescent="0.35">
      <c r="B349" s="10" t="str">
        <f>Assessments!A444</f>
        <v>Cleddau Delta walks</v>
      </c>
    </row>
    <row r="350" spans="2:21" x14ac:dyDescent="0.35">
      <c r="B350" s="79" t="s">
        <v>834</v>
      </c>
      <c r="C350" s="80" t="s">
        <v>835</v>
      </c>
      <c r="D350" s="80" t="s">
        <v>836</v>
      </c>
      <c r="E350" s="233" t="s">
        <v>837</v>
      </c>
      <c r="F350" s="234"/>
      <c r="G350" s="234"/>
      <c r="H350" s="234"/>
      <c r="I350" s="235"/>
      <c r="J350" s="80" t="s">
        <v>677</v>
      </c>
      <c r="K350" s="80" t="s">
        <v>838</v>
      </c>
      <c r="L350" s="80" t="s">
        <v>839</v>
      </c>
      <c r="M350" s="80" t="s">
        <v>840</v>
      </c>
      <c r="N350" s="80" t="s">
        <v>711</v>
      </c>
      <c r="O350" s="80" t="s">
        <v>707</v>
      </c>
      <c r="P350" s="81" t="s">
        <v>841</v>
      </c>
      <c r="Q350" s="81" t="s">
        <v>842</v>
      </c>
      <c r="R350" s="236" t="s">
        <v>843</v>
      </c>
      <c r="S350" s="236"/>
      <c r="T350" s="236"/>
      <c r="U350" s="79" t="s">
        <v>844</v>
      </c>
    </row>
    <row r="351" spans="2:21" x14ac:dyDescent="0.35">
      <c r="B351" s="42"/>
      <c r="C351" s="82"/>
      <c r="E351" s="80" t="s">
        <v>666</v>
      </c>
      <c r="F351" s="80" t="s">
        <v>668</v>
      </c>
      <c r="G351" s="80" t="s">
        <v>670</v>
      </c>
      <c r="H351" s="80" t="s">
        <v>845</v>
      </c>
      <c r="I351" s="80" t="s">
        <v>846</v>
      </c>
      <c r="J351" s="82"/>
      <c r="K351" s="82"/>
      <c r="L351" s="82"/>
      <c r="M351" s="82"/>
      <c r="N351" s="82"/>
      <c r="O351" s="82"/>
      <c r="P351" s="82"/>
      <c r="Q351" s="82"/>
      <c r="R351" s="80">
        <v>750</v>
      </c>
      <c r="S351" s="80" t="s">
        <v>738</v>
      </c>
      <c r="T351" s="80" t="s">
        <v>739</v>
      </c>
    </row>
    <row r="352" spans="2:21" x14ac:dyDescent="0.35">
      <c r="B352" s="2">
        <v>0</v>
      </c>
      <c r="C352" s="2">
        <v>30</v>
      </c>
      <c r="D352" s="5">
        <f>C352-B352</f>
        <v>30</v>
      </c>
      <c r="F352" s="5">
        <f>D352</f>
        <v>30</v>
      </c>
      <c r="J352" s="2">
        <f>D352*2*0.15</f>
        <v>9</v>
      </c>
      <c r="L352" s="5">
        <f>F352</f>
        <v>30</v>
      </c>
      <c r="P352" s="2">
        <v>60</v>
      </c>
      <c r="U352" s="1" t="s">
        <v>924</v>
      </c>
    </row>
    <row r="353" spans="2:21" x14ac:dyDescent="0.35">
      <c r="B353" s="2">
        <f>C352</f>
        <v>30</v>
      </c>
      <c r="C353" s="2">
        <v>600</v>
      </c>
      <c r="D353" s="5">
        <f t="shared" ref="D353:D362" si="106">C353-B353</f>
        <v>570</v>
      </c>
      <c r="F353" s="5">
        <f t="shared" ref="F353:F362" si="107">D353</f>
        <v>570</v>
      </c>
      <c r="J353" s="2">
        <f t="shared" ref="J353:J355" si="108">D353*2*0.15</f>
        <v>171</v>
      </c>
      <c r="L353" s="5">
        <f t="shared" ref="L353:L355" si="109">F353</f>
        <v>570</v>
      </c>
      <c r="P353" s="2">
        <v>60</v>
      </c>
      <c r="R353" s="2">
        <v>2</v>
      </c>
      <c r="U353" s="2"/>
    </row>
    <row r="354" spans="2:21" x14ac:dyDescent="0.35">
      <c r="B354" s="2">
        <f t="shared" ref="B354:B362" si="110">C353</f>
        <v>600</v>
      </c>
      <c r="C354" s="2">
        <v>700</v>
      </c>
      <c r="D354" s="5">
        <f t="shared" si="106"/>
        <v>100</v>
      </c>
      <c r="F354" s="5">
        <f t="shared" si="107"/>
        <v>100</v>
      </c>
      <c r="J354" s="2">
        <f t="shared" si="108"/>
        <v>30</v>
      </c>
      <c r="L354" s="5">
        <f t="shared" si="109"/>
        <v>100</v>
      </c>
      <c r="P354" s="2">
        <v>10</v>
      </c>
      <c r="R354" s="2">
        <v>2</v>
      </c>
      <c r="U354" s="2"/>
    </row>
    <row r="355" spans="2:21" x14ac:dyDescent="0.35">
      <c r="B355" s="2">
        <f t="shared" si="110"/>
        <v>700</v>
      </c>
      <c r="C355" s="2">
        <v>800</v>
      </c>
      <c r="D355" s="5">
        <f t="shared" si="106"/>
        <v>100</v>
      </c>
      <c r="F355" s="5">
        <f t="shared" si="107"/>
        <v>100</v>
      </c>
      <c r="J355" s="2">
        <f t="shared" si="108"/>
        <v>30</v>
      </c>
      <c r="L355" s="5">
        <f t="shared" si="109"/>
        <v>100</v>
      </c>
      <c r="U355" s="2"/>
    </row>
    <row r="356" spans="2:21" x14ac:dyDescent="0.35">
      <c r="B356" s="2">
        <f t="shared" si="110"/>
        <v>800</v>
      </c>
      <c r="C356" s="2">
        <v>1180</v>
      </c>
      <c r="D356" s="5">
        <f t="shared" si="106"/>
        <v>380</v>
      </c>
      <c r="F356" s="5">
        <f t="shared" si="107"/>
        <v>380</v>
      </c>
      <c r="K356" s="2">
        <f>F356*2*0.15</f>
        <v>114</v>
      </c>
      <c r="M356" s="5">
        <f>F356</f>
        <v>380</v>
      </c>
      <c r="P356" s="2">
        <v>15</v>
      </c>
      <c r="R356" s="2">
        <v>2</v>
      </c>
      <c r="U356" s="11" t="s">
        <v>925</v>
      </c>
    </row>
    <row r="357" spans="2:21" x14ac:dyDescent="0.35">
      <c r="B357" s="2">
        <f t="shared" si="110"/>
        <v>1180</v>
      </c>
      <c r="C357" s="2">
        <v>1200</v>
      </c>
      <c r="D357" s="5">
        <f t="shared" si="106"/>
        <v>20</v>
      </c>
      <c r="F357" s="5">
        <f t="shared" si="107"/>
        <v>20</v>
      </c>
      <c r="K357" s="2">
        <f t="shared" ref="K357:K360" si="111">F357*2*0.15</f>
        <v>6</v>
      </c>
      <c r="M357" s="5">
        <f t="shared" ref="M357:M360" si="112">F357</f>
        <v>20</v>
      </c>
      <c r="P357" s="2">
        <v>12</v>
      </c>
      <c r="U357" s="2"/>
    </row>
    <row r="358" spans="2:21" x14ac:dyDescent="0.35">
      <c r="B358" s="2">
        <f t="shared" si="110"/>
        <v>1200</v>
      </c>
      <c r="C358" s="2">
        <v>1250</v>
      </c>
      <c r="D358" s="5">
        <f t="shared" si="106"/>
        <v>50</v>
      </c>
      <c r="F358" s="5">
        <f t="shared" si="107"/>
        <v>50</v>
      </c>
      <c r="K358" s="2">
        <f t="shared" si="111"/>
        <v>15</v>
      </c>
      <c r="M358" s="5">
        <f t="shared" si="112"/>
        <v>50</v>
      </c>
      <c r="P358" s="2">
        <v>30</v>
      </c>
      <c r="U358" s="2"/>
    </row>
    <row r="359" spans="2:21" x14ac:dyDescent="0.35">
      <c r="B359" s="2">
        <f t="shared" si="110"/>
        <v>1250</v>
      </c>
      <c r="C359" s="2">
        <v>1300</v>
      </c>
      <c r="D359" s="5">
        <f t="shared" si="106"/>
        <v>50</v>
      </c>
      <c r="F359" s="5">
        <f t="shared" si="107"/>
        <v>50</v>
      </c>
      <c r="K359" s="2">
        <f t="shared" si="111"/>
        <v>15</v>
      </c>
      <c r="M359" s="5">
        <f t="shared" si="112"/>
        <v>50</v>
      </c>
      <c r="P359" s="2">
        <v>25</v>
      </c>
      <c r="U359" s="2"/>
    </row>
    <row r="360" spans="2:21" x14ac:dyDescent="0.35">
      <c r="B360" s="2">
        <f t="shared" si="110"/>
        <v>1300</v>
      </c>
      <c r="C360" s="2">
        <v>1450</v>
      </c>
      <c r="D360" s="5">
        <f t="shared" si="106"/>
        <v>150</v>
      </c>
      <c r="F360" s="5">
        <f t="shared" si="107"/>
        <v>150</v>
      </c>
      <c r="K360" s="2">
        <f t="shared" si="111"/>
        <v>45</v>
      </c>
      <c r="M360" s="5">
        <f t="shared" si="112"/>
        <v>150</v>
      </c>
      <c r="P360" s="2">
        <v>15</v>
      </c>
      <c r="R360" s="2">
        <v>1</v>
      </c>
      <c r="U360" s="2"/>
    </row>
    <row r="361" spans="2:21" x14ac:dyDescent="0.35">
      <c r="B361" s="2">
        <f t="shared" si="110"/>
        <v>1450</v>
      </c>
      <c r="C361" s="2">
        <v>1900</v>
      </c>
      <c r="D361" s="5">
        <f t="shared" si="106"/>
        <v>450</v>
      </c>
      <c r="F361" s="5">
        <f t="shared" si="107"/>
        <v>450</v>
      </c>
      <c r="J361" s="2">
        <f>D361*2*0.15</f>
        <v>135</v>
      </c>
      <c r="L361" s="5">
        <f t="shared" ref="L361:L362" si="113">F361</f>
        <v>450</v>
      </c>
      <c r="R361" s="2">
        <v>2</v>
      </c>
      <c r="U361" s="2"/>
    </row>
    <row r="362" spans="2:21" x14ac:dyDescent="0.35">
      <c r="B362" s="2">
        <f t="shared" si="110"/>
        <v>1900</v>
      </c>
      <c r="C362" s="2">
        <v>2100</v>
      </c>
      <c r="D362" s="5">
        <f t="shared" si="106"/>
        <v>200</v>
      </c>
      <c r="F362" s="5">
        <f t="shared" si="107"/>
        <v>200</v>
      </c>
      <c r="J362" s="2">
        <f>D362*2*0.15</f>
        <v>60</v>
      </c>
      <c r="L362" s="5">
        <f t="shared" si="113"/>
        <v>200</v>
      </c>
      <c r="R362" s="2">
        <v>2</v>
      </c>
      <c r="U362" s="2"/>
    </row>
    <row r="363" spans="2:21" x14ac:dyDescent="0.35">
      <c r="B363" s="239" t="s">
        <v>849</v>
      </c>
      <c r="C363" s="239"/>
      <c r="D363" s="5">
        <f>SUM(D352:D362)</f>
        <v>2100</v>
      </c>
      <c r="E363" s="5">
        <f>SUM(E357:E362)</f>
        <v>0</v>
      </c>
      <c r="F363" s="5">
        <f>SUM(F352:F362)</f>
        <v>2100</v>
      </c>
      <c r="G363" s="5">
        <f>SUM(G353:G362)</f>
        <v>0</v>
      </c>
      <c r="H363" s="5">
        <f>SUM(H359:H362)*2</f>
        <v>0</v>
      </c>
      <c r="I363" s="5">
        <f>SUM(I360:I362)</f>
        <v>0</v>
      </c>
      <c r="J363" s="5">
        <f>SUM(J352:J362)</f>
        <v>435</v>
      </c>
      <c r="K363" s="5">
        <f>SUM(K355:K362)</f>
        <v>195</v>
      </c>
      <c r="L363" s="5">
        <f>SUM(L352:L362)</f>
        <v>1450</v>
      </c>
      <c r="M363" s="5">
        <f>SUM(M356:M362)</f>
        <v>650</v>
      </c>
      <c r="N363" s="5">
        <f>SUM(N356:N362)</f>
        <v>0</v>
      </c>
      <c r="O363" s="5">
        <f>SUM(O357:O362)</f>
        <v>0</v>
      </c>
      <c r="P363" s="5">
        <f>SUM(P352:P362)</f>
        <v>227</v>
      </c>
      <c r="R363" s="5">
        <f>SUM(R352:R362)</f>
        <v>11</v>
      </c>
    </row>
    <row r="364" spans="2:21" x14ac:dyDescent="0.35">
      <c r="B364" s="239" t="s">
        <v>851</v>
      </c>
      <c r="C364" s="239"/>
      <c r="E364" s="95">
        <f>Rates!$C$6*E363</f>
        <v>0</v>
      </c>
      <c r="F364" s="95">
        <f>Rates!$C$7*F363</f>
        <v>150000</v>
      </c>
      <c r="G364" s="95">
        <f>Rates!$C$8*G363</f>
        <v>0</v>
      </c>
      <c r="H364" s="95">
        <f>Rates!$C$9*H363</f>
        <v>0</v>
      </c>
      <c r="I364" s="95">
        <f>Rates!$C$10*I363</f>
        <v>0</v>
      </c>
      <c r="J364" s="95">
        <f>Rates!$C$13*J363</f>
        <v>15225</v>
      </c>
      <c r="K364" s="95">
        <f>Rates!$C$16*K363</f>
        <v>46800</v>
      </c>
      <c r="L364" s="95">
        <f>Rates!$C$20*L363</f>
        <v>87000</v>
      </c>
      <c r="M364" s="95">
        <f>Rates!$C$26*M363+3600</f>
        <v>73800</v>
      </c>
      <c r="N364" s="95">
        <f>N363*Rates!$C$36</f>
        <v>0</v>
      </c>
      <c r="O364" s="95">
        <f>Rates!$C$34*O363</f>
        <v>0</v>
      </c>
      <c r="P364" s="95">
        <f>Rates!$C$35*P363</f>
        <v>397250</v>
      </c>
      <c r="Q364" s="95">
        <f>Q362*Rates!C82</f>
        <v>0</v>
      </c>
      <c r="R364" s="95">
        <f>R363*Rates!$C$50</f>
        <v>24750</v>
      </c>
    </row>
    <row r="365" spans="2:21" x14ac:dyDescent="0.35">
      <c r="B365" s="240" t="s">
        <v>852</v>
      </c>
      <c r="C365" s="241"/>
      <c r="D365" s="146"/>
      <c r="E365" s="149"/>
      <c r="F365" s="146"/>
      <c r="G365" s="146"/>
      <c r="H365" s="146"/>
      <c r="I365" s="146"/>
      <c r="J365" s="146"/>
      <c r="K365" s="146"/>
      <c r="L365" s="149"/>
      <c r="M365" s="147">
        <f>SUM(E364:M364)</f>
        <v>372825</v>
      </c>
    </row>
    <row r="366" spans="2:21" x14ac:dyDescent="0.35">
      <c r="B366" s="237" t="s">
        <v>284</v>
      </c>
      <c r="C366" s="238"/>
      <c r="D366" s="86"/>
      <c r="E366" s="148"/>
      <c r="F366" s="86"/>
      <c r="G366" s="86"/>
      <c r="H366" s="86"/>
      <c r="I366" s="86"/>
      <c r="J366" s="86"/>
      <c r="K366" s="86"/>
      <c r="L366" s="148"/>
      <c r="M366" s="86"/>
      <c r="N366" s="86"/>
      <c r="O366" s="86"/>
      <c r="P366" s="86"/>
      <c r="Q366" s="86"/>
      <c r="R366" s="86"/>
      <c r="S366" s="86"/>
      <c r="T366" s="150">
        <f>SUM(N364:T364)</f>
        <v>422000</v>
      </c>
    </row>
  </sheetData>
  <sheetProtection algorithmName="SHA-512" hashValue="WURMFP69DYXMRNPX5ONWnkxIWNrI6A/wYXNNw5OQDWZHjNOkzmkBKBsqWf1aZGd7wrteN9PzdL0yz0/jYKuBug==" saltValue="tHcTtXQKDwwpUgPCvwOhsQ==" spinCount="100000" sheet="1" objects="1" scenarios="1"/>
  <mergeCells count="139">
    <mergeCell ref="E335:I335"/>
    <mergeCell ref="R335:T335"/>
    <mergeCell ref="E169:I169"/>
    <mergeCell ref="R169:T169"/>
    <mergeCell ref="E185:I185"/>
    <mergeCell ref="R185:T185"/>
    <mergeCell ref="B300:C300"/>
    <mergeCell ref="B301:C301"/>
    <mergeCell ref="B302:C302"/>
    <mergeCell ref="B315:C315"/>
    <mergeCell ref="B316:C316"/>
    <mergeCell ref="B317:C317"/>
    <mergeCell ref="E307:I307"/>
    <mergeCell ref="R307:T307"/>
    <mergeCell ref="E325:I325"/>
    <mergeCell ref="R325:T325"/>
    <mergeCell ref="E252:I252"/>
    <mergeCell ref="R252:T252"/>
    <mergeCell ref="E239:I239"/>
    <mergeCell ref="R239:T239"/>
    <mergeCell ref="E217:I217"/>
    <mergeCell ref="R217:T217"/>
    <mergeCell ref="E198:I198"/>
    <mergeCell ref="R198:T198"/>
    <mergeCell ref="B282:C282"/>
    <mergeCell ref="B236:C236"/>
    <mergeCell ref="B265:C265"/>
    <mergeCell ref="B266:C266"/>
    <mergeCell ref="B267:C267"/>
    <mergeCell ref="B246:C246"/>
    <mergeCell ref="B247:C247"/>
    <mergeCell ref="B248:C248"/>
    <mergeCell ref="B249:C249"/>
    <mergeCell ref="B264:C264"/>
    <mergeCell ref="E17:I17"/>
    <mergeCell ref="R17:T17"/>
    <mergeCell ref="E6:I6"/>
    <mergeCell ref="R6:T6"/>
    <mergeCell ref="E156:I156"/>
    <mergeCell ref="R156:T156"/>
    <mergeCell ref="E27:I27"/>
    <mergeCell ref="R27:T27"/>
    <mergeCell ref="E53:I53"/>
    <mergeCell ref="R53:T53"/>
    <mergeCell ref="R89:T89"/>
    <mergeCell ref="E111:I111"/>
    <mergeCell ref="R111:T111"/>
    <mergeCell ref="E146:I146"/>
    <mergeCell ref="R146:T146"/>
    <mergeCell ref="E77:I77"/>
    <mergeCell ref="R77:T77"/>
    <mergeCell ref="E89:I89"/>
    <mergeCell ref="E133:I133"/>
    <mergeCell ref="R133:T133"/>
    <mergeCell ref="E68:I68"/>
    <mergeCell ref="R68:T68"/>
    <mergeCell ref="B10:C10"/>
    <mergeCell ref="B11:C11"/>
    <mergeCell ref="B12:C12"/>
    <mergeCell ref="B13:C13"/>
    <mergeCell ref="B21:C21"/>
    <mergeCell ref="B22:C22"/>
    <mergeCell ref="B23:C23"/>
    <mergeCell ref="B24:C24"/>
    <mergeCell ref="B46:C46"/>
    <mergeCell ref="B47:C47"/>
    <mergeCell ref="B48:C48"/>
    <mergeCell ref="B49:C49"/>
    <mergeCell ref="B83:C83"/>
    <mergeCell ref="B84:C84"/>
    <mergeCell ref="B85:C85"/>
    <mergeCell ref="B104:C104"/>
    <mergeCell ref="B105:C105"/>
    <mergeCell ref="B61:C61"/>
    <mergeCell ref="B62:C62"/>
    <mergeCell ref="B63:C63"/>
    <mergeCell ref="B64:C64"/>
    <mergeCell ref="B82:C82"/>
    <mergeCell ref="B71:C71"/>
    <mergeCell ref="B72:C72"/>
    <mergeCell ref="B73:C73"/>
    <mergeCell ref="B74:C74"/>
    <mergeCell ref="B129:C129"/>
    <mergeCell ref="B150:C150"/>
    <mergeCell ref="B151:C151"/>
    <mergeCell ref="B152:C152"/>
    <mergeCell ref="B153:C153"/>
    <mergeCell ref="B106:C106"/>
    <mergeCell ref="B107:C107"/>
    <mergeCell ref="B126:C126"/>
    <mergeCell ref="B127:C127"/>
    <mergeCell ref="B128:C128"/>
    <mergeCell ref="B137:C137"/>
    <mergeCell ref="B138:C138"/>
    <mergeCell ref="B139:C139"/>
    <mergeCell ref="B140:C140"/>
    <mergeCell ref="B163:C163"/>
    <mergeCell ref="B164:C164"/>
    <mergeCell ref="B165:C165"/>
    <mergeCell ref="B166:C166"/>
    <mergeCell ref="B179:C179"/>
    <mergeCell ref="B214:C214"/>
    <mergeCell ref="B233:C233"/>
    <mergeCell ref="B234:C234"/>
    <mergeCell ref="B235:C235"/>
    <mergeCell ref="B192:C192"/>
    <mergeCell ref="B193:C193"/>
    <mergeCell ref="B211:C211"/>
    <mergeCell ref="B212:C212"/>
    <mergeCell ref="B213:C213"/>
    <mergeCell ref="B180:C180"/>
    <mergeCell ref="B181:C181"/>
    <mergeCell ref="B182:C182"/>
    <mergeCell ref="B190:C190"/>
    <mergeCell ref="B191:C191"/>
    <mergeCell ref="E350:I350"/>
    <mergeCell ref="R350:T350"/>
    <mergeCell ref="E290:I290"/>
    <mergeCell ref="R290:T290"/>
    <mergeCell ref="E271:I271"/>
    <mergeCell ref="R271:T271"/>
    <mergeCell ref="B366:C366"/>
    <mergeCell ref="B344:C344"/>
    <mergeCell ref="B345:C345"/>
    <mergeCell ref="B346:C346"/>
    <mergeCell ref="B363:C363"/>
    <mergeCell ref="B364:C364"/>
    <mergeCell ref="B329:C329"/>
    <mergeCell ref="B330:C330"/>
    <mergeCell ref="B331:C331"/>
    <mergeCell ref="B332:C332"/>
    <mergeCell ref="B343:C343"/>
    <mergeCell ref="B365:C365"/>
    <mergeCell ref="B322:C322"/>
    <mergeCell ref="B283:C283"/>
    <mergeCell ref="B318:C318"/>
    <mergeCell ref="B284:C284"/>
    <mergeCell ref="B285:C285"/>
    <mergeCell ref="B299:C299"/>
  </mergeCells>
  <phoneticPr fontId="11" type="noConversion"/>
  <printOptions gridLines="1"/>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28EB5-819A-4AA2-8FF7-955F229E4A9F}">
  <dimension ref="A2:U275"/>
  <sheetViews>
    <sheetView workbookViewId="0">
      <pane ySplit="1500" topLeftCell="A19" activePane="bottomLeft"/>
      <selection activeCell="L25" sqref="L1:L1048576"/>
      <selection pane="bottomLeft" activeCell="T208" sqref="T208"/>
    </sheetView>
  </sheetViews>
  <sheetFormatPr defaultRowHeight="14.5" x14ac:dyDescent="0.35"/>
  <cols>
    <col min="2" max="2" width="7.7265625" style="5" customWidth="1"/>
    <col min="3" max="3" width="7.54296875" style="5" bestFit="1" customWidth="1"/>
    <col min="4" max="4" width="12.54296875" style="5" bestFit="1" customWidth="1"/>
    <col min="5" max="5" width="15.26953125" style="5" bestFit="1" customWidth="1"/>
    <col min="6" max="6" width="14.26953125" style="5" bestFit="1" customWidth="1"/>
    <col min="7" max="8" width="15.26953125" style="5" bestFit="1" customWidth="1"/>
    <col min="9" max="9" width="12.54296875" style="5" bestFit="1" customWidth="1"/>
    <col min="10" max="10" width="12.54296875" style="2" bestFit="1" customWidth="1"/>
    <col min="11" max="11" width="9" style="2" bestFit="1" customWidth="1"/>
    <col min="12" max="13" width="14.26953125" style="2" bestFit="1" customWidth="1"/>
    <col min="14" max="14" width="12.54296875" style="2" bestFit="1" customWidth="1"/>
    <col min="15" max="15" width="15.26953125" style="2" bestFit="1" customWidth="1"/>
    <col min="16" max="16" width="12.54296875" style="2" bestFit="1" customWidth="1"/>
    <col min="17" max="17" width="6.1796875" style="2" bestFit="1" customWidth="1"/>
    <col min="18" max="18" width="11.54296875" style="2" bestFit="1" customWidth="1"/>
    <col min="19" max="19" width="14.26953125" style="2" bestFit="1" customWidth="1"/>
    <col min="20" max="20" width="15.26953125" style="2" bestFit="1" customWidth="1"/>
    <col min="21" max="21" width="94.1796875" style="1" customWidth="1"/>
  </cols>
  <sheetData>
    <row r="2" spans="2:21" x14ac:dyDescent="0.35">
      <c r="B2" s="90" t="s">
        <v>926</v>
      </c>
    </row>
    <row r="3" spans="2:21" x14ac:dyDescent="0.35">
      <c r="B3" s="80" t="s">
        <v>834</v>
      </c>
      <c r="C3" s="80" t="s">
        <v>835</v>
      </c>
      <c r="D3" s="80" t="s">
        <v>836</v>
      </c>
      <c r="E3" s="233" t="s">
        <v>837</v>
      </c>
      <c r="F3" s="234"/>
      <c r="G3" s="234"/>
      <c r="H3" s="234"/>
      <c r="I3" s="235"/>
      <c r="J3" s="80" t="s">
        <v>677</v>
      </c>
      <c r="K3" s="80" t="s">
        <v>838</v>
      </c>
      <c r="L3" s="80" t="s">
        <v>839</v>
      </c>
      <c r="M3" s="80" t="s">
        <v>840</v>
      </c>
      <c r="N3" s="80" t="s">
        <v>711</v>
      </c>
      <c r="O3" s="80" t="s">
        <v>707</v>
      </c>
      <c r="P3" s="81" t="s">
        <v>841</v>
      </c>
      <c r="Q3" s="81" t="s">
        <v>842</v>
      </c>
      <c r="R3" s="236" t="s">
        <v>843</v>
      </c>
      <c r="S3" s="236"/>
      <c r="T3" s="236"/>
      <c r="U3" s="79" t="s">
        <v>844</v>
      </c>
    </row>
    <row r="4" spans="2:21" x14ac:dyDescent="0.35">
      <c r="B4" s="82"/>
      <c r="C4" s="82"/>
      <c r="E4" s="80" t="s">
        <v>666</v>
      </c>
      <c r="F4" s="80" t="s">
        <v>668</v>
      </c>
      <c r="G4" s="80" t="s">
        <v>670</v>
      </c>
      <c r="H4" s="80" t="s">
        <v>845</v>
      </c>
      <c r="I4" s="80" t="s">
        <v>846</v>
      </c>
      <c r="J4" s="82"/>
      <c r="K4" s="82"/>
      <c r="L4" s="82"/>
      <c r="M4" s="82"/>
      <c r="N4" s="82"/>
      <c r="O4" s="82"/>
      <c r="P4" s="82"/>
      <c r="Q4" s="82"/>
      <c r="R4" s="80">
        <v>750</v>
      </c>
      <c r="S4" s="80" t="s">
        <v>738</v>
      </c>
      <c r="T4" s="80" t="s">
        <v>739</v>
      </c>
    </row>
    <row r="5" spans="2:21" x14ac:dyDescent="0.35">
      <c r="B5" s="5">
        <v>0</v>
      </c>
      <c r="C5" s="5">
        <v>3360</v>
      </c>
      <c r="D5" s="5">
        <f>C5-B5</f>
        <v>3360</v>
      </c>
      <c r="F5" s="5" t="s">
        <v>68</v>
      </c>
      <c r="G5" s="5" t="s">
        <v>68</v>
      </c>
      <c r="I5" s="5">
        <f>D5</f>
        <v>3360</v>
      </c>
      <c r="L5" s="5" t="s">
        <v>68</v>
      </c>
      <c r="M5" s="2" t="s">
        <v>68</v>
      </c>
      <c r="O5" s="2" t="s">
        <v>68</v>
      </c>
      <c r="U5" s="1" t="s">
        <v>927</v>
      </c>
    </row>
    <row r="6" spans="2:21" x14ac:dyDescent="0.35">
      <c r="B6" s="5">
        <f>C5</f>
        <v>3360</v>
      </c>
      <c r="C6" s="5">
        <v>6200</v>
      </c>
      <c r="D6" s="5">
        <f t="shared" ref="D6:D70" si="0">C6-B6</f>
        <v>2840</v>
      </c>
      <c r="F6" s="5">
        <f>D6</f>
        <v>2840</v>
      </c>
      <c r="L6" s="5" t="s">
        <v>68</v>
      </c>
      <c r="O6" s="5" t="s">
        <v>68</v>
      </c>
      <c r="U6" s="1" t="s">
        <v>928</v>
      </c>
    </row>
    <row r="7" spans="2:21" x14ac:dyDescent="0.35">
      <c r="B7" s="5">
        <f t="shared" ref="B7:B71" si="1">C6</f>
        <v>6200</v>
      </c>
      <c r="C7" s="5">
        <v>6450</v>
      </c>
      <c r="D7" s="5">
        <f t="shared" si="0"/>
        <v>250</v>
      </c>
      <c r="G7" s="5">
        <f>D7</f>
        <v>250</v>
      </c>
      <c r="O7" s="107">
        <v>126</v>
      </c>
      <c r="U7" s="1" t="s">
        <v>929</v>
      </c>
    </row>
    <row r="8" spans="2:21" x14ac:dyDescent="0.35">
      <c r="B8" s="5">
        <f t="shared" si="1"/>
        <v>6450</v>
      </c>
      <c r="C8" s="5">
        <v>6900</v>
      </c>
      <c r="D8" s="5">
        <f t="shared" si="0"/>
        <v>450</v>
      </c>
      <c r="F8" s="5">
        <f>D8</f>
        <v>450</v>
      </c>
    </row>
    <row r="9" spans="2:21" x14ac:dyDescent="0.35">
      <c r="B9" s="5">
        <f t="shared" si="1"/>
        <v>6900</v>
      </c>
      <c r="C9" s="5">
        <v>7000</v>
      </c>
      <c r="D9" s="5">
        <f t="shared" si="0"/>
        <v>100</v>
      </c>
      <c r="G9" s="5">
        <f>D9</f>
        <v>100</v>
      </c>
    </row>
    <row r="10" spans="2:21" x14ac:dyDescent="0.35">
      <c r="B10" s="5">
        <f t="shared" si="1"/>
        <v>7000</v>
      </c>
      <c r="C10" s="5">
        <v>7850</v>
      </c>
      <c r="D10" s="5">
        <f t="shared" si="0"/>
        <v>850</v>
      </c>
      <c r="F10" s="5">
        <f>D10</f>
        <v>850</v>
      </c>
      <c r="O10" s="2">
        <v>12</v>
      </c>
    </row>
    <row r="11" spans="2:21" x14ac:dyDescent="0.35">
      <c r="B11" s="5">
        <f t="shared" si="1"/>
        <v>7850</v>
      </c>
      <c r="C11" s="5">
        <v>8270</v>
      </c>
      <c r="D11" s="5">
        <f t="shared" si="0"/>
        <v>420</v>
      </c>
      <c r="F11" s="5">
        <f t="shared" ref="F11:F16" si="2">D11</f>
        <v>420</v>
      </c>
      <c r="O11" s="2">
        <v>6</v>
      </c>
    </row>
    <row r="12" spans="2:21" x14ac:dyDescent="0.35">
      <c r="B12" s="5">
        <f t="shared" si="1"/>
        <v>8270</v>
      </c>
      <c r="C12" s="5">
        <v>8800</v>
      </c>
      <c r="D12" s="5">
        <f t="shared" si="0"/>
        <v>530</v>
      </c>
      <c r="F12" s="5">
        <f t="shared" si="2"/>
        <v>530</v>
      </c>
      <c r="O12" s="2">
        <v>23</v>
      </c>
    </row>
    <row r="13" spans="2:21" x14ac:dyDescent="0.35">
      <c r="B13" s="5">
        <f t="shared" si="1"/>
        <v>8800</v>
      </c>
      <c r="C13" s="5">
        <v>9350</v>
      </c>
      <c r="D13" s="5">
        <f t="shared" si="0"/>
        <v>550</v>
      </c>
      <c r="F13" s="5">
        <f t="shared" si="2"/>
        <v>550</v>
      </c>
      <c r="O13" s="2">
        <v>10</v>
      </c>
    </row>
    <row r="14" spans="2:21" x14ac:dyDescent="0.35">
      <c r="B14" s="5">
        <f t="shared" si="1"/>
        <v>9350</v>
      </c>
      <c r="C14" s="5">
        <v>10220</v>
      </c>
      <c r="D14" s="5">
        <f t="shared" si="0"/>
        <v>870</v>
      </c>
      <c r="F14" s="5">
        <f t="shared" si="2"/>
        <v>870</v>
      </c>
      <c r="Q14" s="107">
        <v>2</v>
      </c>
      <c r="U14" s="1" t="s">
        <v>930</v>
      </c>
    </row>
    <row r="15" spans="2:21" x14ac:dyDescent="0.35">
      <c r="B15" s="5">
        <f t="shared" si="1"/>
        <v>10220</v>
      </c>
      <c r="C15" s="5">
        <v>10350</v>
      </c>
      <c r="D15" s="5">
        <f t="shared" si="0"/>
        <v>130</v>
      </c>
      <c r="F15" s="5">
        <f t="shared" si="2"/>
        <v>130</v>
      </c>
      <c r="O15" s="2">
        <v>8</v>
      </c>
    </row>
    <row r="16" spans="2:21" x14ac:dyDescent="0.35">
      <c r="B16" s="5">
        <f t="shared" si="1"/>
        <v>10350</v>
      </c>
      <c r="C16" s="5">
        <v>10950</v>
      </c>
      <c r="D16" s="5">
        <f t="shared" si="0"/>
        <v>600</v>
      </c>
      <c r="F16" s="5">
        <f t="shared" si="2"/>
        <v>600</v>
      </c>
      <c r="O16" s="2">
        <v>16</v>
      </c>
    </row>
    <row r="17" spans="2:21" x14ac:dyDescent="0.35">
      <c r="B17" s="5">
        <f t="shared" si="1"/>
        <v>10950</v>
      </c>
      <c r="C17" s="5">
        <v>11750</v>
      </c>
      <c r="D17" s="5">
        <f t="shared" si="0"/>
        <v>800</v>
      </c>
      <c r="E17" s="5">
        <f>D17</f>
        <v>800</v>
      </c>
      <c r="P17" s="2">
        <v>15</v>
      </c>
    </row>
    <row r="18" spans="2:21" x14ac:dyDescent="0.35">
      <c r="B18" s="5">
        <f t="shared" si="1"/>
        <v>11750</v>
      </c>
      <c r="C18" s="5">
        <v>11850</v>
      </c>
      <c r="D18" s="5">
        <f t="shared" si="0"/>
        <v>100</v>
      </c>
      <c r="E18" s="5">
        <f>D18</f>
        <v>100</v>
      </c>
      <c r="P18" s="2">
        <v>20</v>
      </c>
    </row>
    <row r="19" spans="2:21" x14ac:dyDescent="0.35">
      <c r="B19" s="5">
        <f t="shared" si="1"/>
        <v>11850</v>
      </c>
      <c r="C19" s="5">
        <v>12300</v>
      </c>
      <c r="D19" s="5">
        <f t="shared" si="0"/>
        <v>450</v>
      </c>
      <c r="E19" s="5">
        <f>D19</f>
        <v>450</v>
      </c>
    </row>
    <row r="20" spans="2:21" x14ac:dyDescent="0.35">
      <c r="B20" s="5">
        <f t="shared" si="1"/>
        <v>12300</v>
      </c>
      <c r="C20" s="5">
        <v>12450</v>
      </c>
      <c r="D20" s="5">
        <f t="shared" si="0"/>
        <v>150</v>
      </c>
      <c r="F20" s="5">
        <f>D20</f>
        <v>150</v>
      </c>
    </row>
    <row r="21" spans="2:21" x14ac:dyDescent="0.35">
      <c r="B21" s="5">
        <f t="shared" si="1"/>
        <v>12450</v>
      </c>
      <c r="C21" s="5">
        <v>12550</v>
      </c>
      <c r="D21" s="5">
        <f t="shared" si="0"/>
        <v>100</v>
      </c>
      <c r="G21" s="5">
        <f>D21</f>
        <v>100</v>
      </c>
    </row>
    <row r="22" spans="2:21" x14ac:dyDescent="0.35">
      <c r="B22" s="5">
        <f t="shared" si="1"/>
        <v>12550</v>
      </c>
      <c r="C22" s="5">
        <v>13100</v>
      </c>
      <c r="D22" s="5">
        <f t="shared" si="0"/>
        <v>550</v>
      </c>
      <c r="F22" s="5">
        <f>D22</f>
        <v>550</v>
      </c>
    </row>
    <row r="23" spans="2:21" x14ac:dyDescent="0.35">
      <c r="B23" s="5">
        <f t="shared" si="1"/>
        <v>13100</v>
      </c>
      <c r="C23" s="5">
        <v>13450</v>
      </c>
      <c r="D23" s="5">
        <f t="shared" si="0"/>
        <v>350</v>
      </c>
      <c r="G23" s="5">
        <f>D23</f>
        <v>350</v>
      </c>
      <c r="O23" s="2">
        <v>10</v>
      </c>
    </row>
    <row r="24" spans="2:21" x14ac:dyDescent="0.35">
      <c r="B24" s="5">
        <f t="shared" si="1"/>
        <v>13450</v>
      </c>
      <c r="C24" s="5">
        <v>13800</v>
      </c>
      <c r="D24" s="5">
        <f t="shared" si="0"/>
        <v>350</v>
      </c>
      <c r="F24" s="5">
        <f>D24</f>
        <v>350</v>
      </c>
    </row>
    <row r="25" spans="2:21" x14ac:dyDescent="0.35">
      <c r="B25" s="5">
        <f t="shared" si="1"/>
        <v>13800</v>
      </c>
      <c r="C25" s="5">
        <v>14200</v>
      </c>
      <c r="D25" s="5">
        <f t="shared" si="0"/>
        <v>400</v>
      </c>
      <c r="G25" s="5">
        <f>D25</f>
        <v>400</v>
      </c>
    </row>
    <row r="26" spans="2:21" x14ac:dyDescent="0.35">
      <c r="B26" s="5">
        <f t="shared" si="1"/>
        <v>14200</v>
      </c>
      <c r="C26" s="5">
        <v>14300</v>
      </c>
      <c r="D26" s="5">
        <f t="shared" si="0"/>
        <v>100</v>
      </c>
      <c r="G26" s="5">
        <f>D26</f>
        <v>100</v>
      </c>
      <c r="O26" s="2">
        <v>10</v>
      </c>
    </row>
    <row r="27" spans="2:21" x14ac:dyDescent="0.35">
      <c r="B27" s="5">
        <f t="shared" si="1"/>
        <v>14300</v>
      </c>
      <c r="C27" s="5">
        <v>14700</v>
      </c>
      <c r="D27" s="5">
        <f t="shared" si="0"/>
        <v>400</v>
      </c>
      <c r="F27" s="5">
        <f>D27</f>
        <v>400</v>
      </c>
    </row>
    <row r="28" spans="2:21" x14ac:dyDescent="0.35">
      <c r="B28" s="5">
        <f t="shared" si="1"/>
        <v>14700</v>
      </c>
      <c r="C28" s="5">
        <v>14900</v>
      </c>
      <c r="D28" s="5">
        <f t="shared" si="0"/>
        <v>200</v>
      </c>
      <c r="G28" s="5">
        <f>D28</f>
        <v>200</v>
      </c>
    </row>
    <row r="29" spans="2:21" x14ac:dyDescent="0.35">
      <c r="B29" s="5">
        <f t="shared" si="1"/>
        <v>14900</v>
      </c>
      <c r="C29" s="5">
        <v>15800</v>
      </c>
      <c r="D29" s="5">
        <f t="shared" si="0"/>
        <v>900</v>
      </c>
      <c r="F29" s="5">
        <f>D29</f>
        <v>900</v>
      </c>
    </row>
    <row r="30" spans="2:21" x14ac:dyDescent="0.35">
      <c r="B30" s="5">
        <f t="shared" si="1"/>
        <v>15800</v>
      </c>
      <c r="C30" s="5">
        <v>16900</v>
      </c>
      <c r="D30" s="5">
        <f t="shared" si="0"/>
        <v>1100</v>
      </c>
      <c r="G30" s="5">
        <f>D30</f>
        <v>1100</v>
      </c>
    </row>
    <row r="31" spans="2:21" x14ac:dyDescent="0.35">
      <c r="B31" s="5">
        <f t="shared" si="1"/>
        <v>16900</v>
      </c>
      <c r="C31" s="5">
        <v>17100</v>
      </c>
      <c r="D31" s="5">
        <f t="shared" si="0"/>
        <v>200</v>
      </c>
      <c r="F31" s="5">
        <f>D31</f>
        <v>200</v>
      </c>
      <c r="Q31" s="2">
        <v>1</v>
      </c>
      <c r="U31" s="1" t="s">
        <v>931</v>
      </c>
    </row>
    <row r="32" spans="2:21" x14ac:dyDescent="0.35">
      <c r="B32" s="5">
        <f t="shared" si="1"/>
        <v>17100</v>
      </c>
      <c r="C32" s="5">
        <v>17150</v>
      </c>
      <c r="D32" s="5">
        <f t="shared" si="0"/>
        <v>50</v>
      </c>
      <c r="H32" s="5">
        <f t="shared" ref="H32:H36" si="3">D32</f>
        <v>50</v>
      </c>
      <c r="O32" s="2">
        <v>15</v>
      </c>
      <c r="U32" s="1" t="s">
        <v>932</v>
      </c>
    </row>
    <row r="33" spans="2:21" x14ac:dyDescent="0.35">
      <c r="B33" s="5">
        <f t="shared" si="1"/>
        <v>17150</v>
      </c>
      <c r="C33" s="5">
        <v>17250</v>
      </c>
      <c r="D33" s="5">
        <f t="shared" si="0"/>
        <v>100</v>
      </c>
      <c r="H33" s="5">
        <f t="shared" si="3"/>
        <v>100</v>
      </c>
      <c r="O33" s="2">
        <v>15</v>
      </c>
    </row>
    <row r="34" spans="2:21" x14ac:dyDescent="0.35">
      <c r="B34" s="5">
        <f t="shared" si="1"/>
        <v>17250</v>
      </c>
      <c r="C34" s="5">
        <v>18100</v>
      </c>
      <c r="D34" s="5">
        <f t="shared" si="0"/>
        <v>850</v>
      </c>
      <c r="H34" s="5">
        <f t="shared" si="3"/>
        <v>850</v>
      </c>
      <c r="O34" s="2">
        <v>10</v>
      </c>
    </row>
    <row r="35" spans="2:21" x14ac:dyDescent="0.35">
      <c r="B35" s="5">
        <f t="shared" si="1"/>
        <v>18100</v>
      </c>
      <c r="C35" s="5">
        <v>18800</v>
      </c>
      <c r="D35" s="5">
        <f t="shared" si="0"/>
        <v>700</v>
      </c>
      <c r="H35" s="5">
        <f t="shared" si="3"/>
        <v>700</v>
      </c>
      <c r="O35" s="2">
        <v>40</v>
      </c>
    </row>
    <row r="36" spans="2:21" x14ac:dyDescent="0.35">
      <c r="B36" s="5">
        <f t="shared" si="1"/>
        <v>18800</v>
      </c>
      <c r="C36" s="5">
        <v>19150</v>
      </c>
      <c r="D36" s="5">
        <f t="shared" si="0"/>
        <v>350</v>
      </c>
      <c r="H36" s="5">
        <f t="shared" si="3"/>
        <v>350</v>
      </c>
      <c r="O36" s="2">
        <v>20</v>
      </c>
    </row>
    <row r="37" spans="2:21" x14ac:dyDescent="0.35">
      <c r="B37" s="5">
        <f t="shared" si="1"/>
        <v>19150</v>
      </c>
      <c r="C37" s="5">
        <v>19700</v>
      </c>
      <c r="D37" s="5">
        <f t="shared" si="0"/>
        <v>550</v>
      </c>
      <c r="H37" s="5">
        <f>D37</f>
        <v>550</v>
      </c>
    </row>
    <row r="38" spans="2:21" x14ac:dyDescent="0.35">
      <c r="B38" s="5">
        <f t="shared" si="1"/>
        <v>19700</v>
      </c>
      <c r="C38" s="5">
        <v>20000</v>
      </c>
      <c r="D38" s="5">
        <f t="shared" si="0"/>
        <v>300</v>
      </c>
      <c r="F38" s="5">
        <f>D38</f>
        <v>300</v>
      </c>
    </row>
    <row r="39" spans="2:21" x14ac:dyDescent="0.35">
      <c r="B39" s="5">
        <f t="shared" si="1"/>
        <v>20000</v>
      </c>
      <c r="C39" s="5">
        <v>23250</v>
      </c>
      <c r="D39" s="5">
        <f t="shared" si="0"/>
        <v>3250</v>
      </c>
      <c r="E39" s="5">
        <f>D39</f>
        <v>3250</v>
      </c>
      <c r="P39" s="2">
        <v>60</v>
      </c>
      <c r="U39" s="1" t="s">
        <v>933</v>
      </c>
    </row>
    <row r="40" spans="2:21" x14ac:dyDescent="0.35">
      <c r="B40" s="5">
        <f t="shared" si="1"/>
        <v>23250</v>
      </c>
      <c r="C40" s="5">
        <v>24500</v>
      </c>
      <c r="D40" s="5">
        <f t="shared" si="0"/>
        <v>1250</v>
      </c>
      <c r="E40" s="5">
        <f>D40</f>
        <v>1250</v>
      </c>
      <c r="P40" s="2">
        <v>70</v>
      </c>
      <c r="U40" s="1" t="s">
        <v>933</v>
      </c>
    </row>
    <row r="41" spans="2:21" x14ac:dyDescent="0.35">
      <c r="B41" s="5">
        <f t="shared" si="1"/>
        <v>24500</v>
      </c>
      <c r="C41" s="5">
        <v>24700</v>
      </c>
      <c r="D41" s="5">
        <f t="shared" si="0"/>
        <v>200</v>
      </c>
      <c r="G41" s="5">
        <f>D41</f>
        <v>200</v>
      </c>
      <c r="U41" s="1" t="s">
        <v>934</v>
      </c>
    </row>
    <row r="42" spans="2:21" x14ac:dyDescent="0.35">
      <c r="B42" s="5">
        <f t="shared" si="1"/>
        <v>24700</v>
      </c>
      <c r="C42" s="5">
        <v>25200</v>
      </c>
      <c r="D42" s="5">
        <f t="shared" si="0"/>
        <v>500</v>
      </c>
      <c r="F42" s="5">
        <f>D42</f>
        <v>500</v>
      </c>
    </row>
    <row r="43" spans="2:21" x14ac:dyDescent="0.35">
      <c r="B43" s="5">
        <f t="shared" si="1"/>
        <v>25200</v>
      </c>
      <c r="C43" s="5">
        <v>26600</v>
      </c>
      <c r="D43" s="5">
        <f t="shared" si="0"/>
        <v>1400</v>
      </c>
      <c r="G43" s="5">
        <f>D43</f>
        <v>1400</v>
      </c>
      <c r="P43" s="2">
        <v>30</v>
      </c>
    </row>
    <row r="44" spans="2:21" x14ac:dyDescent="0.35">
      <c r="B44" s="5">
        <f t="shared" si="1"/>
        <v>26600</v>
      </c>
      <c r="C44" s="5">
        <v>26650</v>
      </c>
      <c r="D44" s="5">
        <f t="shared" si="0"/>
        <v>50</v>
      </c>
      <c r="F44" s="5">
        <f>D44</f>
        <v>50</v>
      </c>
      <c r="P44" s="2">
        <v>10</v>
      </c>
      <c r="Q44" s="107">
        <v>3</v>
      </c>
      <c r="U44" s="1" t="s">
        <v>935</v>
      </c>
    </row>
    <row r="45" spans="2:21" x14ac:dyDescent="0.35">
      <c r="B45" s="5">
        <f t="shared" si="1"/>
        <v>26650</v>
      </c>
      <c r="C45" s="5">
        <v>27800</v>
      </c>
      <c r="D45" s="5">
        <f t="shared" si="0"/>
        <v>1150</v>
      </c>
      <c r="E45" s="5">
        <f>D45</f>
        <v>1150</v>
      </c>
    </row>
    <row r="46" spans="2:21" x14ac:dyDescent="0.35">
      <c r="B46" s="5">
        <f t="shared" si="1"/>
        <v>27800</v>
      </c>
      <c r="C46" s="5">
        <v>28500</v>
      </c>
      <c r="D46" s="5">
        <f t="shared" si="0"/>
        <v>700</v>
      </c>
      <c r="G46" s="5">
        <f>D46</f>
        <v>700</v>
      </c>
      <c r="J46" s="101">
        <f>100*2*2</f>
        <v>400</v>
      </c>
      <c r="U46" s="1" t="s">
        <v>936</v>
      </c>
    </row>
    <row r="47" spans="2:21" x14ac:dyDescent="0.35">
      <c r="B47" s="5">
        <f t="shared" si="1"/>
        <v>28500</v>
      </c>
      <c r="C47" s="5">
        <v>29330</v>
      </c>
      <c r="D47" s="5">
        <f t="shared" si="0"/>
        <v>830</v>
      </c>
      <c r="G47" s="5">
        <f>D47</f>
        <v>830</v>
      </c>
      <c r="O47" s="107">
        <v>60</v>
      </c>
      <c r="U47" s="1" t="s">
        <v>937</v>
      </c>
    </row>
    <row r="48" spans="2:21" x14ac:dyDescent="0.35">
      <c r="B48" s="5">
        <f t="shared" si="1"/>
        <v>29330</v>
      </c>
      <c r="C48" s="5">
        <v>29380</v>
      </c>
      <c r="D48" s="5">
        <f t="shared" si="0"/>
        <v>50</v>
      </c>
      <c r="G48" s="5">
        <f>D48</f>
        <v>50</v>
      </c>
    </row>
    <row r="49" spans="2:21" x14ac:dyDescent="0.35">
      <c r="B49" s="5">
        <f t="shared" si="1"/>
        <v>29380</v>
      </c>
      <c r="C49" s="5">
        <v>30900</v>
      </c>
      <c r="D49" s="5">
        <f t="shared" si="0"/>
        <v>1520</v>
      </c>
      <c r="E49" s="5">
        <f>D49</f>
        <v>1520</v>
      </c>
      <c r="U49" s="1" t="s">
        <v>938</v>
      </c>
    </row>
    <row r="50" spans="2:21" x14ac:dyDescent="0.35">
      <c r="B50" s="5">
        <f t="shared" si="1"/>
        <v>30900</v>
      </c>
      <c r="C50" s="5">
        <v>31350</v>
      </c>
      <c r="D50" s="5">
        <f t="shared" si="0"/>
        <v>450</v>
      </c>
      <c r="G50" s="5">
        <f>D50</f>
        <v>450</v>
      </c>
      <c r="R50" s="2">
        <v>2</v>
      </c>
      <c r="U50" s="1" t="s">
        <v>939</v>
      </c>
    </row>
    <row r="51" spans="2:21" x14ac:dyDescent="0.35">
      <c r="B51" s="5">
        <f t="shared" si="1"/>
        <v>31350</v>
      </c>
      <c r="C51" s="5">
        <v>31520</v>
      </c>
      <c r="D51" s="5">
        <f t="shared" si="0"/>
        <v>170</v>
      </c>
      <c r="F51" s="5">
        <f>D51</f>
        <v>170</v>
      </c>
      <c r="O51" s="2">
        <v>6</v>
      </c>
      <c r="U51" s="1" t="s">
        <v>940</v>
      </c>
    </row>
    <row r="52" spans="2:21" x14ac:dyDescent="0.35">
      <c r="B52" s="5">
        <f t="shared" si="1"/>
        <v>31520</v>
      </c>
      <c r="C52" s="5">
        <v>31800</v>
      </c>
      <c r="D52" s="5">
        <f t="shared" si="0"/>
        <v>280</v>
      </c>
      <c r="F52" s="5">
        <f>D52</f>
        <v>280</v>
      </c>
    </row>
    <row r="53" spans="2:21" x14ac:dyDescent="0.35">
      <c r="B53" s="5">
        <f t="shared" si="1"/>
        <v>31800</v>
      </c>
      <c r="C53" s="5">
        <v>31900</v>
      </c>
      <c r="D53" s="5">
        <f t="shared" si="0"/>
        <v>100</v>
      </c>
      <c r="G53" s="5">
        <f>D53</f>
        <v>100</v>
      </c>
      <c r="R53" s="2">
        <v>2</v>
      </c>
      <c r="S53" s="2">
        <v>1</v>
      </c>
      <c r="U53"/>
    </row>
    <row r="54" spans="2:21" x14ac:dyDescent="0.35">
      <c r="B54" s="5">
        <f t="shared" si="1"/>
        <v>31900</v>
      </c>
      <c r="C54" s="5">
        <v>32000</v>
      </c>
      <c r="D54" s="5">
        <f t="shared" si="0"/>
        <v>100</v>
      </c>
      <c r="G54" s="5">
        <f>D54</f>
        <v>100</v>
      </c>
      <c r="R54" s="2">
        <v>1</v>
      </c>
      <c r="U54" s="1" t="s">
        <v>941</v>
      </c>
    </row>
    <row r="55" spans="2:21" x14ac:dyDescent="0.35">
      <c r="B55" s="5">
        <f t="shared" si="1"/>
        <v>32000</v>
      </c>
      <c r="C55" s="5">
        <v>32270</v>
      </c>
      <c r="D55" s="5">
        <f t="shared" si="0"/>
        <v>270</v>
      </c>
      <c r="E55" s="5">
        <f>D55</f>
        <v>270</v>
      </c>
      <c r="Q55" s="107">
        <v>270</v>
      </c>
      <c r="U55" s="1" t="s">
        <v>942</v>
      </c>
    </row>
    <row r="56" spans="2:21" x14ac:dyDescent="0.35">
      <c r="B56" s="5">
        <f t="shared" si="1"/>
        <v>32270</v>
      </c>
      <c r="C56" s="5">
        <v>32500</v>
      </c>
      <c r="D56" s="5">
        <f t="shared" si="0"/>
        <v>230</v>
      </c>
      <c r="F56" s="5">
        <f>D56</f>
        <v>230</v>
      </c>
      <c r="O56" s="2">
        <v>6</v>
      </c>
      <c r="U56"/>
    </row>
    <row r="57" spans="2:21" x14ac:dyDescent="0.35">
      <c r="B57" s="5">
        <f t="shared" si="1"/>
        <v>32500</v>
      </c>
      <c r="C57" s="5">
        <v>33000</v>
      </c>
      <c r="D57" s="5">
        <f t="shared" si="0"/>
        <v>500</v>
      </c>
      <c r="F57" s="5">
        <f t="shared" ref="F57:F61" si="4">D57</f>
        <v>500</v>
      </c>
      <c r="S57" s="2">
        <v>1</v>
      </c>
      <c r="U57"/>
    </row>
    <row r="58" spans="2:21" x14ac:dyDescent="0.35">
      <c r="B58" s="5">
        <f t="shared" si="1"/>
        <v>33000</v>
      </c>
      <c r="C58" s="5">
        <v>34450</v>
      </c>
      <c r="D58" s="5">
        <f t="shared" si="0"/>
        <v>1450</v>
      </c>
      <c r="F58" s="5">
        <f t="shared" si="4"/>
        <v>1450</v>
      </c>
      <c r="O58" s="2">
        <v>42</v>
      </c>
      <c r="U58" t="s">
        <v>943</v>
      </c>
    </row>
    <row r="59" spans="2:21" x14ac:dyDescent="0.35">
      <c r="B59" s="5">
        <f t="shared" si="1"/>
        <v>34450</v>
      </c>
      <c r="C59" s="5">
        <v>35230</v>
      </c>
      <c r="D59" s="5">
        <f t="shared" si="0"/>
        <v>780</v>
      </c>
      <c r="F59" s="5">
        <f t="shared" si="4"/>
        <v>780</v>
      </c>
      <c r="P59" s="2">
        <v>6</v>
      </c>
      <c r="U59"/>
    </row>
    <row r="60" spans="2:21" x14ac:dyDescent="0.35">
      <c r="B60" s="5">
        <f t="shared" si="1"/>
        <v>35230</v>
      </c>
      <c r="C60" s="5">
        <v>35450</v>
      </c>
      <c r="D60" s="5">
        <f t="shared" si="0"/>
        <v>220</v>
      </c>
      <c r="F60" s="5">
        <f t="shared" si="4"/>
        <v>220</v>
      </c>
      <c r="P60" s="2">
        <v>20</v>
      </c>
      <c r="U60"/>
    </row>
    <row r="61" spans="2:21" x14ac:dyDescent="0.35">
      <c r="B61" s="5">
        <f t="shared" si="1"/>
        <v>35450</v>
      </c>
      <c r="C61" s="5">
        <v>35550</v>
      </c>
      <c r="D61" s="5">
        <f t="shared" si="0"/>
        <v>100</v>
      </c>
      <c r="F61" s="5">
        <f t="shared" si="4"/>
        <v>100</v>
      </c>
      <c r="P61" s="2" t="s">
        <v>68</v>
      </c>
      <c r="U61"/>
    </row>
    <row r="62" spans="2:21" x14ac:dyDescent="0.35">
      <c r="B62" s="5">
        <f t="shared" si="1"/>
        <v>35550</v>
      </c>
      <c r="C62" s="5">
        <v>36050</v>
      </c>
      <c r="D62" s="5">
        <f t="shared" si="0"/>
        <v>500</v>
      </c>
      <c r="I62" s="5">
        <f>D62</f>
        <v>500</v>
      </c>
      <c r="U62" t="s">
        <v>944</v>
      </c>
    </row>
    <row r="63" spans="2:21" x14ac:dyDescent="0.35">
      <c r="B63" s="5">
        <f t="shared" si="1"/>
        <v>36050</v>
      </c>
      <c r="C63" s="5">
        <v>36700</v>
      </c>
      <c r="D63" s="5">
        <f t="shared" si="0"/>
        <v>650</v>
      </c>
      <c r="G63" s="5">
        <f>D63</f>
        <v>650</v>
      </c>
      <c r="O63" s="2">
        <v>42</v>
      </c>
      <c r="P63" s="2">
        <v>110</v>
      </c>
    </row>
    <row r="64" spans="2:21" x14ac:dyDescent="0.35">
      <c r="B64" s="5">
        <f t="shared" si="1"/>
        <v>36700</v>
      </c>
      <c r="C64" s="5">
        <v>36850</v>
      </c>
      <c r="D64" s="5">
        <f t="shared" si="0"/>
        <v>150</v>
      </c>
      <c r="G64" s="5">
        <f>D64</f>
        <v>150</v>
      </c>
      <c r="O64" s="2">
        <v>25</v>
      </c>
    </row>
    <row r="65" spans="2:21" x14ac:dyDescent="0.35">
      <c r="B65" s="5">
        <f t="shared" si="1"/>
        <v>36850</v>
      </c>
      <c r="C65" s="5">
        <v>37000</v>
      </c>
      <c r="D65" s="5">
        <f t="shared" si="0"/>
        <v>150</v>
      </c>
      <c r="G65" s="5">
        <f>D65</f>
        <v>150</v>
      </c>
    </row>
    <row r="66" spans="2:21" x14ac:dyDescent="0.35">
      <c r="B66" s="5">
        <f t="shared" si="1"/>
        <v>37000</v>
      </c>
      <c r="C66" s="5">
        <v>38900</v>
      </c>
      <c r="D66" s="5">
        <f t="shared" si="0"/>
        <v>1900</v>
      </c>
      <c r="F66" s="5">
        <f t="shared" ref="F66" si="5">D66</f>
        <v>1900</v>
      </c>
    </row>
    <row r="67" spans="2:21" x14ac:dyDescent="0.35">
      <c r="B67" s="5">
        <f t="shared" si="1"/>
        <v>38900</v>
      </c>
      <c r="C67" s="5">
        <v>39400</v>
      </c>
      <c r="D67" s="5">
        <f t="shared" si="0"/>
        <v>500</v>
      </c>
      <c r="E67" s="5">
        <f>D67</f>
        <v>500</v>
      </c>
    </row>
    <row r="68" spans="2:21" x14ac:dyDescent="0.35">
      <c r="B68" s="5">
        <f t="shared" si="1"/>
        <v>39400</v>
      </c>
      <c r="C68" s="5">
        <v>39850</v>
      </c>
      <c r="D68" s="5">
        <f t="shared" si="0"/>
        <v>450</v>
      </c>
      <c r="G68" s="5">
        <f>D68</f>
        <v>450</v>
      </c>
      <c r="J68" s="2">
        <f>D68*2*0.2</f>
        <v>180</v>
      </c>
      <c r="P68" s="2">
        <v>6</v>
      </c>
    </row>
    <row r="69" spans="2:21" x14ac:dyDescent="0.35">
      <c r="B69" s="5">
        <f t="shared" si="1"/>
        <v>39850</v>
      </c>
      <c r="C69" s="5">
        <v>40000</v>
      </c>
      <c r="D69" s="5">
        <f t="shared" si="0"/>
        <v>150</v>
      </c>
      <c r="E69" s="5">
        <f>D69</f>
        <v>150</v>
      </c>
    </row>
    <row r="70" spans="2:21" x14ac:dyDescent="0.35">
      <c r="B70" s="5">
        <f t="shared" si="1"/>
        <v>40000</v>
      </c>
      <c r="C70" s="5">
        <v>40200</v>
      </c>
      <c r="D70" s="5">
        <f t="shared" si="0"/>
        <v>200</v>
      </c>
      <c r="F70" s="5">
        <f>D70</f>
        <v>200</v>
      </c>
      <c r="J70" s="2">
        <f>D70*2*0.2</f>
        <v>80</v>
      </c>
      <c r="U70" s="1" t="s">
        <v>945</v>
      </c>
    </row>
    <row r="71" spans="2:21" x14ac:dyDescent="0.35">
      <c r="B71" s="5">
        <f t="shared" si="1"/>
        <v>40200</v>
      </c>
      <c r="C71" s="5">
        <v>40450</v>
      </c>
      <c r="D71" s="5">
        <f t="shared" ref="D71:D106" si="6">C71-B71</f>
        <v>250</v>
      </c>
      <c r="E71" s="5">
        <f>D71</f>
        <v>250</v>
      </c>
      <c r="O71" s="2">
        <v>6</v>
      </c>
    </row>
    <row r="72" spans="2:21" x14ac:dyDescent="0.35">
      <c r="B72" s="5">
        <f t="shared" ref="B72:B106" si="7">C71</f>
        <v>40450</v>
      </c>
      <c r="C72" s="5">
        <v>41750</v>
      </c>
      <c r="D72" s="5">
        <f t="shared" si="6"/>
        <v>1300</v>
      </c>
      <c r="E72" s="5">
        <f>D72</f>
        <v>1300</v>
      </c>
      <c r="O72" s="2">
        <v>16</v>
      </c>
      <c r="U72" s="1" t="s">
        <v>946</v>
      </c>
    </row>
    <row r="73" spans="2:21" x14ac:dyDescent="0.35">
      <c r="B73" s="5">
        <f t="shared" si="7"/>
        <v>41750</v>
      </c>
      <c r="C73" s="5">
        <v>42500</v>
      </c>
      <c r="D73" s="5">
        <f t="shared" si="6"/>
        <v>750</v>
      </c>
      <c r="F73" s="5">
        <f>D73</f>
        <v>750</v>
      </c>
    </row>
    <row r="74" spans="2:21" x14ac:dyDescent="0.35">
      <c r="B74" s="5">
        <f t="shared" si="7"/>
        <v>42500</v>
      </c>
      <c r="C74" s="5">
        <v>42700</v>
      </c>
      <c r="D74" s="5">
        <f t="shared" si="6"/>
        <v>200</v>
      </c>
      <c r="G74" s="5">
        <f>D74</f>
        <v>200</v>
      </c>
    </row>
    <row r="75" spans="2:21" x14ac:dyDescent="0.35">
      <c r="B75" s="5">
        <f t="shared" si="7"/>
        <v>42700</v>
      </c>
      <c r="C75" s="5">
        <v>42800</v>
      </c>
      <c r="D75" s="5">
        <f t="shared" si="6"/>
        <v>100</v>
      </c>
      <c r="F75" s="5">
        <f>D75</f>
        <v>100</v>
      </c>
    </row>
    <row r="76" spans="2:21" x14ac:dyDescent="0.35">
      <c r="B76" s="5">
        <f t="shared" si="7"/>
        <v>42800</v>
      </c>
      <c r="C76" s="5">
        <v>43050</v>
      </c>
      <c r="D76" s="5">
        <f t="shared" si="6"/>
        <v>250</v>
      </c>
      <c r="G76" s="5">
        <f>D76</f>
        <v>250</v>
      </c>
    </row>
    <row r="77" spans="2:21" x14ac:dyDescent="0.35">
      <c r="B77" s="5">
        <f t="shared" si="7"/>
        <v>43050</v>
      </c>
      <c r="C77" s="5">
        <v>43230</v>
      </c>
      <c r="D77" s="5">
        <f t="shared" si="6"/>
        <v>180</v>
      </c>
      <c r="F77" s="5">
        <f>D77</f>
        <v>180</v>
      </c>
      <c r="U77" s="1" t="s">
        <v>947</v>
      </c>
    </row>
    <row r="78" spans="2:21" x14ac:dyDescent="0.35">
      <c r="B78" s="5">
        <f t="shared" si="7"/>
        <v>43230</v>
      </c>
      <c r="C78" s="5">
        <v>43380</v>
      </c>
      <c r="D78" s="5">
        <f t="shared" si="6"/>
        <v>150</v>
      </c>
      <c r="G78" s="5">
        <f>D78</f>
        <v>150</v>
      </c>
      <c r="R78" s="2">
        <v>1</v>
      </c>
      <c r="U78" s="1" t="s">
        <v>948</v>
      </c>
    </row>
    <row r="79" spans="2:21" x14ac:dyDescent="0.35">
      <c r="B79" s="5">
        <f t="shared" si="7"/>
        <v>43380</v>
      </c>
      <c r="C79" s="5">
        <v>45300</v>
      </c>
      <c r="D79" s="5">
        <f t="shared" si="6"/>
        <v>1920</v>
      </c>
      <c r="F79" s="5">
        <f>D79</f>
        <v>1920</v>
      </c>
      <c r="O79" s="2">
        <f>2*2</f>
        <v>4</v>
      </c>
    </row>
    <row r="80" spans="2:21" x14ac:dyDescent="0.35">
      <c r="B80" s="5">
        <f t="shared" si="7"/>
        <v>45300</v>
      </c>
      <c r="C80" s="5">
        <v>45750</v>
      </c>
      <c r="D80" s="5">
        <f t="shared" si="6"/>
        <v>450</v>
      </c>
      <c r="E80" s="5">
        <f>D80</f>
        <v>450</v>
      </c>
      <c r="U80" s="1" t="s">
        <v>949</v>
      </c>
    </row>
    <row r="81" spans="2:21" x14ac:dyDescent="0.35">
      <c r="B81" s="5">
        <f t="shared" si="7"/>
        <v>45750</v>
      </c>
      <c r="C81" s="5">
        <v>45980</v>
      </c>
      <c r="D81" s="5">
        <f t="shared" si="6"/>
        <v>230</v>
      </c>
      <c r="E81" s="5">
        <f>D81</f>
        <v>230</v>
      </c>
      <c r="O81" s="2">
        <v>3</v>
      </c>
      <c r="R81" s="2">
        <v>1</v>
      </c>
      <c r="U81" s="1" t="s">
        <v>950</v>
      </c>
    </row>
    <row r="82" spans="2:21" x14ac:dyDescent="0.35">
      <c r="B82" s="5">
        <f t="shared" si="7"/>
        <v>45980</v>
      </c>
      <c r="C82" s="5">
        <v>46050</v>
      </c>
      <c r="D82" s="5">
        <f t="shared" si="6"/>
        <v>70</v>
      </c>
      <c r="H82" s="5">
        <f>D82</f>
        <v>70</v>
      </c>
      <c r="U82" s="1" t="s">
        <v>951</v>
      </c>
    </row>
    <row r="83" spans="2:21" x14ac:dyDescent="0.35">
      <c r="B83" s="5">
        <f t="shared" si="7"/>
        <v>46050</v>
      </c>
      <c r="C83" s="5">
        <v>46200</v>
      </c>
      <c r="D83" s="5">
        <f t="shared" si="6"/>
        <v>150</v>
      </c>
      <c r="G83" s="5">
        <f>D83</f>
        <v>150</v>
      </c>
      <c r="O83" s="2">
        <v>6</v>
      </c>
      <c r="R83" s="2">
        <v>1</v>
      </c>
      <c r="U83" s="1" t="s">
        <v>952</v>
      </c>
    </row>
    <row r="84" spans="2:21" x14ac:dyDescent="0.35">
      <c r="B84" s="5">
        <f t="shared" si="7"/>
        <v>46200</v>
      </c>
      <c r="C84" s="5">
        <v>46400</v>
      </c>
      <c r="D84" s="5">
        <f t="shared" si="6"/>
        <v>200</v>
      </c>
      <c r="E84" s="5">
        <f>D84</f>
        <v>200</v>
      </c>
      <c r="U84" s="1" t="s">
        <v>953</v>
      </c>
    </row>
    <row r="85" spans="2:21" x14ac:dyDescent="0.35">
      <c r="B85" s="5">
        <f t="shared" si="7"/>
        <v>46400</v>
      </c>
      <c r="C85" s="5">
        <v>46800</v>
      </c>
      <c r="D85" s="5">
        <f t="shared" si="6"/>
        <v>400</v>
      </c>
      <c r="F85" s="5">
        <f>D85</f>
        <v>400</v>
      </c>
      <c r="U85" s="1" t="s">
        <v>954</v>
      </c>
    </row>
    <row r="86" spans="2:21" x14ac:dyDescent="0.35">
      <c r="B86" s="5">
        <f t="shared" si="7"/>
        <v>46800</v>
      </c>
      <c r="C86" s="5">
        <v>46950</v>
      </c>
      <c r="D86" s="5">
        <f t="shared" si="6"/>
        <v>150</v>
      </c>
      <c r="G86" s="5">
        <f>D86</f>
        <v>150</v>
      </c>
      <c r="N86" s="2">
        <v>10</v>
      </c>
      <c r="Q86" s="107">
        <v>10</v>
      </c>
      <c r="U86" s="1" t="s">
        <v>955</v>
      </c>
    </row>
    <row r="87" spans="2:21" x14ac:dyDescent="0.35">
      <c r="B87" s="5">
        <f t="shared" si="7"/>
        <v>46950</v>
      </c>
      <c r="C87" s="5">
        <v>47220</v>
      </c>
      <c r="D87" s="5">
        <f t="shared" si="6"/>
        <v>270</v>
      </c>
      <c r="F87" s="5">
        <f>D87</f>
        <v>270</v>
      </c>
    </row>
    <row r="88" spans="2:21" x14ac:dyDescent="0.35">
      <c r="B88" s="5">
        <f t="shared" si="7"/>
        <v>47220</v>
      </c>
      <c r="C88" s="5">
        <v>47270</v>
      </c>
      <c r="D88" s="5">
        <f t="shared" si="6"/>
        <v>50</v>
      </c>
      <c r="F88" s="5">
        <f t="shared" ref="F88:F93" si="8">D88</f>
        <v>50</v>
      </c>
      <c r="P88" s="2">
        <v>65</v>
      </c>
    </row>
    <row r="89" spans="2:21" x14ac:dyDescent="0.35">
      <c r="B89" s="5">
        <f t="shared" si="7"/>
        <v>47270</v>
      </c>
      <c r="C89" s="5">
        <v>47400</v>
      </c>
      <c r="D89" s="5">
        <f t="shared" si="6"/>
        <v>130</v>
      </c>
      <c r="F89" s="5">
        <f t="shared" si="8"/>
        <v>130</v>
      </c>
      <c r="O89" s="2">
        <v>4</v>
      </c>
    </row>
    <row r="90" spans="2:21" x14ac:dyDescent="0.35">
      <c r="B90" s="5">
        <f t="shared" si="7"/>
        <v>47400</v>
      </c>
      <c r="C90" s="5">
        <v>47500</v>
      </c>
      <c r="D90" s="5">
        <f t="shared" si="6"/>
        <v>100</v>
      </c>
      <c r="F90" s="5">
        <f t="shared" si="8"/>
        <v>100</v>
      </c>
    </row>
    <row r="91" spans="2:21" x14ac:dyDescent="0.35">
      <c r="B91" s="5">
        <f t="shared" si="7"/>
        <v>47500</v>
      </c>
      <c r="C91" s="5">
        <v>47760</v>
      </c>
      <c r="D91" s="5">
        <f t="shared" si="6"/>
        <v>260</v>
      </c>
      <c r="G91" s="5">
        <f>D91</f>
        <v>260</v>
      </c>
      <c r="O91" s="2">
        <v>6</v>
      </c>
    </row>
    <row r="92" spans="2:21" x14ac:dyDescent="0.35">
      <c r="B92" s="5">
        <f t="shared" si="7"/>
        <v>47760</v>
      </c>
      <c r="C92" s="5">
        <v>47900</v>
      </c>
      <c r="D92" s="5">
        <f t="shared" si="6"/>
        <v>140</v>
      </c>
      <c r="F92" s="5">
        <f t="shared" si="8"/>
        <v>140</v>
      </c>
      <c r="O92" s="2">
        <v>6</v>
      </c>
    </row>
    <row r="93" spans="2:21" x14ac:dyDescent="0.35">
      <c r="B93" s="5">
        <f t="shared" si="7"/>
        <v>47900</v>
      </c>
      <c r="C93" s="5">
        <v>47950</v>
      </c>
      <c r="D93" s="5">
        <f t="shared" si="6"/>
        <v>50</v>
      </c>
      <c r="F93" s="5">
        <f t="shared" si="8"/>
        <v>50</v>
      </c>
      <c r="O93" s="2">
        <v>6</v>
      </c>
    </row>
    <row r="94" spans="2:21" x14ac:dyDescent="0.35">
      <c r="B94" s="5">
        <f t="shared" si="7"/>
        <v>47950</v>
      </c>
      <c r="C94" s="5">
        <v>48450</v>
      </c>
      <c r="D94" s="5">
        <f t="shared" si="6"/>
        <v>500</v>
      </c>
      <c r="E94" s="5">
        <f>D94</f>
        <v>500</v>
      </c>
    </row>
    <row r="95" spans="2:21" x14ac:dyDescent="0.35">
      <c r="B95" s="5">
        <f t="shared" si="7"/>
        <v>48450</v>
      </c>
      <c r="C95" s="5">
        <v>48550</v>
      </c>
      <c r="D95" s="5">
        <f t="shared" si="6"/>
        <v>100</v>
      </c>
      <c r="F95" s="5">
        <f t="shared" ref="F95:F96" si="9">D95</f>
        <v>100</v>
      </c>
      <c r="O95" s="2">
        <v>12</v>
      </c>
    </row>
    <row r="96" spans="2:21" x14ac:dyDescent="0.35">
      <c r="B96" s="5">
        <f t="shared" si="7"/>
        <v>48550</v>
      </c>
      <c r="C96" s="5">
        <v>49200</v>
      </c>
      <c r="D96" s="5">
        <f t="shared" si="6"/>
        <v>650</v>
      </c>
      <c r="F96" s="5">
        <f t="shared" si="9"/>
        <v>650</v>
      </c>
      <c r="O96" s="2">
        <f>24+24*2</f>
        <v>72</v>
      </c>
      <c r="U96" s="1" t="s">
        <v>956</v>
      </c>
    </row>
    <row r="97" spans="2:21" x14ac:dyDescent="0.35">
      <c r="B97" s="5">
        <f t="shared" si="7"/>
        <v>49200</v>
      </c>
      <c r="C97" s="5">
        <v>50100</v>
      </c>
      <c r="D97" s="5">
        <f t="shared" si="6"/>
        <v>900</v>
      </c>
      <c r="F97" s="5">
        <f>D97</f>
        <v>900</v>
      </c>
    </row>
    <row r="98" spans="2:21" x14ac:dyDescent="0.35">
      <c r="B98" s="5">
        <f t="shared" si="7"/>
        <v>50100</v>
      </c>
      <c r="C98" s="5">
        <v>52600</v>
      </c>
      <c r="D98" s="5">
        <f t="shared" si="6"/>
        <v>2500</v>
      </c>
      <c r="G98" s="5">
        <f>D98</f>
        <v>2500</v>
      </c>
      <c r="O98" s="2">
        <v>8</v>
      </c>
      <c r="P98" s="2" t="s">
        <v>68</v>
      </c>
    </row>
    <row r="99" spans="2:21" x14ac:dyDescent="0.35">
      <c r="B99" s="5">
        <f t="shared" si="7"/>
        <v>52600</v>
      </c>
      <c r="C99" s="5">
        <v>52665</v>
      </c>
      <c r="D99" s="5">
        <f t="shared" si="6"/>
        <v>65</v>
      </c>
      <c r="E99" s="5">
        <f>D99</f>
        <v>65</v>
      </c>
      <c r="P99" s="2">
        <v>65</v>
      </c>
      <c r="U99" s="1" t="s">
        <v>957</v>
      </c>
    </row>
    <row r="100" spans="2:21" x14ac:dyDescent="0.35">
      <c r="B100" s="5">
        <f t="shared" si="7"/>
        <v>52665</v>
      </c>
      <c r="C100" s="5">
        <v>52850</v>
      </c>
      <c r="D100" s="5">
        <f t="shared" si="6"/>
        <v>185</v>
      </c>
      <c r="E100" s="5">
        <f>D100</f>
        <v>185</v>
      </c>
    </row>
    <row r="101" spans="2:21" x14ac:dyDescent="0.35">
      <c r="B101" s="5">
        <f t="shared" si="7"/>
        <v>52850</v>
      </c>
      <c r="C101" s="5">
        <v>53000</v>
      </c>
      <c r="D101" s="5">
        <f t="shared" si="6"/>
        <v>150</v>
      </c>
      <c r="F101" s="5">
        <f>D101</f>
        <v>150</v>
      </c>
    </row>
    <row r="102" spans="2:21" x14ac:dyDescent="0.35">
      <c r="B102" s="5">
        <f t="shared" si="7"/>
        <v>53000</v>
      </c>
      <c r="C102" s="5">
        <v>53150</v>
      </c>
      <c r="D102" s="5">
        <f t="shared" si="6"/>
        <v>150</v>
      </c>
      <c r="G102" s="5">
        <f>D102</f>
        <v>150</v>
      </c>
    </row>
    <row r="103" spans="2:21" x14ac:dyDescent="0.35">
      <c r="B103" s="5">
        <f t="shared" si="7"/>
        <v>53150</v>
      </c>
      <c r="C103" s="5">
        <v>53580</v>
      </c>
      <c r="D103" s="5">
        <f t="shared" si="6"/>
        <v>430</v>
      </c>
      <c r="F103" s="5">
        <f>D103</f>
        <v>430</v>
      </c>
      <c r="O103" s="2">
        <v>15</v>
      </c>
      <c r="U103" s="1" t="s">
        <v>958</v>
      </c>
    </row>
    <row r="104" spans="2:21" x14ac:dyDescent="0.35">
      <c r="B104" s="5">
        <f t="shared" si="7"/>
        <v>53580</v>
      </c>
      <c r="C104" s="5">
        <v>54060</v>
      </c>
      <c r="D104" s="5">
        <f t="shared" si="6"/>
        <v>480</v>
      </c>
      <c r="F104" s="5">
        <f t="shared" ref="F104:F106" si="10">D104</f>
        <v>480</v>
      </c>
      <c r="O104" s="2">
        <v>25</v>
      </c>
      <c r="U104" s="1" t="s">
        <v>959</v>
      </c>
    </row>
    <row r="105" spans="2:21" x14ac:dyDescent="0.35">
      <c r="B105" s="5">
        <f t="shared" si="7"/>
        <v>54060</v>
      </c>
      <c r="C105" s="5">
        <v>54960</v>
      </c>
      <c r="D105" s="5">
        <f t="shared" si="6"/>
        <v>900</v>
      </c>
      <c r="F105" s="5">
        <f t="shared" si="10"/>
        <v>900</v>
      </c>
      <c r="O105" s="2">
        <v>20</v>
      </c>
      <c r="P105" s="2">
        <v>8</v>
      </c>
      <c r="U105" s="1" t="s">
        <v>960</v>
      </c>
    </row>
    <row r="106" spans="2:21" x14ac:dyDescent="0.35">
      <c r="B106" s="5">
        <f t="shared" si="7"/>
        <v>54960</v>
      </c>
      <c r="C106" s="5">
        <v>55450</v>
      </c>
      <c r="D106" s="5">
        <f t="shared" si="6"/>
        <v>490</v>
      </c>
      <c r="F106" s="5">
        <f t="shared" si="10"/>
        <v>490</v>
      </c>
    </row>
    <row r="107" spans="2:21" x14ac:dyDescent="0.35">
      <c r="C107" s="5" t="s">
        <v>961</v>
      </c>
      <c r="D107" s="5">
        <f>SUM(D5:D106)</f>
        <v>55450</v>
      </c>
      <c r="E107" s="5">
        <f t="shared" ref="E107:T107" si="11">SUM(E5:E106)</f>
        <v>12620</v>
      </c>
      <c r="F107" s="5">
        <f>SUM(F5:F106)</f>
        <v>24660</v>
      </c>
      <c r="G107" s="5">
        <f t="shared" si="11"/>
        <v>11640</v>
      </c>
      <c r="H107" s="5">
        <f t="shared" si="11"/>
        <v>2670</v>
      </c>
      <c r="I107" s="5">
        <f t="shared" si="11"/>
        <v>3860</v>
      </c>
      <c r="J107" s="5">
        <f t="shared" si="11"/>
        <v>660</v>
      </c>
      <c r="K107" s="5">
        <f t="shared" si="11"/>
        <v>0</v>
      </c>
      <c r="L107" s="5">
        <f t="shared" si="11"/>
        <v>0</v>
      </c>
      <c r="M107" s="5">
        <f t="shared" si="11"/>
        <v>0</v>
      </c>
      <c r="N107" s="5">
        <f t="shared" si="11"/>
        <v>10</v>
      </c>
      <c r="O107" s="5">
        <f t="shared" si="11"/>
        <v>711</v>
      </c>
      <c r="P107" s="5">
        <f t="shared" si="11"/>
        <v>485</v>
      </c>
      <c r="Q107" s="106">
        <f t="shared" si="11"/>
        <v>286</v>
      </c>
      <c r="R107" s="5">
        <v>20</v>
      </c>
      <c r="S107" s="5">
        <v>20</v>
      </c>
      <c r="T107" s="5">
        <f t="shared" si="11"/>
        <v>0</v>
      </c>
    </row>
    <row r="108" spans="2:21" x14ac:dyDescent="0.35">
      <c r="C108" s="5" t="s">
        <v>961</v>
      </c>
      <c r="D108" s="5">
        <f>SUM(E107:I107)</f>
        <v>55450</v>
      </c>
      <c r="E108" s="94">
        <f>Rates!C6*E107</f>
        <v>420666.66666666669</v>
      </c>
      <c r="F108" s="94">
        <f>Rates!C7*F107</f>
        <v>1761428.5714285716</v>
      </c>
      <c r="G108" s="94">
        <f>Rates!C8*G107</f>
        <v>2910000</v>
      </c>
      <c r="H108" s="94">
        <f>Rates!C9*H107</f>
        <v>1335000</v>
      </c>
      <c r="I108" s="94">
        <f>Rates!C10*I107</f>
        <v>57900</v>
      </c>
      <c r="J108" s="101" t="s">
        <v>962</v>
      </c>
      <c r="N108" s="95">
        <f>Rates!C36*N107</f>
        <v>4500</v>
      </c>
      <c r="O108" s="95">
        <f>Rates!C34*O107</f>
        <v>4763700</v>
      </c>
      <c r="P108" s="95">
        <f>Rates!C35*P107</f>
        <v>848750</v>
      </c>
      <c r="R108" s="95">
        <f>Rates!C50*R107</f>
        <v>45000</v>
      </c>
      <c r="S108" s="95">
        <f>S107*Rates!C51</f>
        <v>70000</v>
      </c>
    </row>
    <row r="109" spans="2:21" x14ac:dyDescent="0.35">
      <c r="E109" s="94"/>
      <c r="F109" s="94"/>
      <c r="G109" s="94"/>
      <c r="H109" s="94"/>
      <c r="I109" s="94"/>
      <c r="N109" s="95"/>
      <c r="O109" s="95"/>
      <c r="P109" s="95"/>
    </row>
    <row r="110" spans="2:21" ht="15" thickBot="1" x14ac:dyDescent="0.4">
      <c r="B110" s="82" t="s">
        <v>963</v>
      </c>
      <c r="E110" s="97">
        <f>SUM(E108:M108)</f>
        <v>6484995.2380952388</v>
      </c>
    </row>
    <row r="111" spans="2:21" ht="15.5" thickTop="1" thickBot="1" x14ac:dyDescent="0.4">
      <c r="B111" s="82" t="s">
        <v>964</v>
      </c>
      <c r="S111" s="154">
        <f>SUM(N108:T108)</f>
        <v>5731950</v>
      </c>
    </row>
    <row r="112" spans="2:21" ht="15" thickTop="1" x14ac:dyDescent="0.35">
      <c r="B112" s="82"/>
    </row>
    <row r="113" spans="2:10" x14ac:dyDescent="0.35">
      <c r="B113" s="90" t="s">
        <v>965</v>
      </c>
    </row>
    <row r="114" spans="2:10" x14ac:dyDescent="0.35">
      <c r="B114" s="82" t="s">
        <v>966</v>
      </c>
      <c r="C114" s="41" t="s">
        <v>835</v>
      </c>
      <c r="D114" s="41" t="s">
        <v>836</v>
      </c>
      <c r="E114" s="41" t="s">
        <v>967</v>
      </c>
      <c r="F114" s="41" t="s">
        <v>968</v>
      </c>
      <c r="G114" s="41" t="s">
        <v>969</v>
      </c>
      <c r="H114" s="41" t="s">
        <v>970</v>
      </c>
      <c r="I114" s="41" t="s">
        <v>971</v>
      </c>
      <c r="J114" s="32" t="s">
        <v>972</v>
      </c>
    </row>
    <row r="115" spans="2:10" x14ac:dyDescent="0.35">
      <c r="B115" s="5">
        <v>0</v>
      </c>
      <c r="C115" s="5">
        <v>3360</v>
      </c>
      <c r="D115" s="5">
        <f>C115-B115</f>
        <v>3360</v>
      </c>
      <c r="E115" s="91">
        <f>D115</f>
        <v>3360</v>
      </c>
    </row>
    <row r="116" spans="2:10" x14ac:dyDescent="0.35">
      <c r="B116" s="5">
        <f>C115</f>
        <v>3360</v>
      </c>
      <c r="C116" s="5">
        <v>6200</v>
      </c>
      <c r="D116" s="5">
        <f t="shared" ref="D116:D130" si="12">C116-B116</f>
        <v>2840</v>
      </c>
      <c r="E116" s="91">
        <f t="shared" ref="E116:E117" si="13">D116</f>
        <v>2840</v>
      </c>
    </row>
    <row r="117" spans="2:10" x14ac:dyDescent="0.35">
      <c r="B117" s="5">
        <f t="shared" ref="B117:B130" si="14">C116</f>
        <v>6200</v>
      </c>
      <c r="C117" s="5">
        <v>7200</v>
      </c>
      <c r="D117" s="5">
        <f t="shared" si="12"/>
        <v>1000</v>
      </c>
      <c r="E117" s="91">
        <f t="shared" si="13"/>
        <v>1000</v>
      </c>
      <c r="F117" s="91">
        <f>D117</f>
        <v>1000</v>
      </c>
    </row>
    <row r="118" spans="2:10" x14ac:dyDescent="0.35">
      <c r="B118" s="5">
        <f t="shared" si="14"/>
        <v>7200</v>
      </c>
      <c r="C118" s="5">
        <v>10000</v>
      </c>
      <c r="D118" s="5">
        <f t="shared" si="12"/>
        <v>2800</v>
      </c>
      <c r="H118" s="91">
        <f>D118</f>
        <v>2800</v>
      </c>
      <c r="I118" s="91">
        <f>D118</f>
        <v>2800</v>
      </c>
    </row>
    <row r="119" spans="2:10" x14ac:dyDescent="0.35">
      <c r="B119" s="5">
        <f t="shared" si="14"/>
        <v>10000</v>
      </c>
      <c r="C119" s="5">
        <v>13000</v>
      </c>
      <c r="D119" s="5">
        <f t="shared" si="12"/>
        <v>3000</v>
      </c>
      <c r="E119" s="91">
        <f>D119</f>
        <v>3000</v>
      </c>
      <c r="F119" s="91">
        <f>D119</f>
        <v>3000</v>
      </c>
    </row>
    <row r="120" spans="2:10" x14ac:dyDescent="0.35">
      <c r="B120" s="5">
        <f t="shared" si="14"/>
        <v>13000</v>
      </c>
      <c r="C120" s="5">
        <v>14800</v>
      </c>
      <c r="D120" s="5">
        <f t="shared" si="12"/>
        <v>1800</v>
      </c>
      <c r="E120" s="91">
        <f>D120</f>
        <v>1800</v>
      </c>
      <c r="F120" s="91">
        <f>D120</f>
        <v>1800</v>
      </c>
    </row>
    <row r="121" spans="2:10" x14ac:dyDescent="0.35">
      <c r="B121" s="5">
        <f t="shared" si="14"/>
        <v>14800</v>
      </c>
      <c r="C121" s="5">
        <v>19200</v>
      </c>
      <c r="D121" s="5">
        <f t="shared" si="12"/>
        <v>4400</v>
      </c>
      <c r="I121" s="91">
        <f>D121*0.5</f>
        <v>2200</v>
      </c>
      <c r="J121" s="92">
        <f>D121*0.5</f>
        <v>2200</v>
      </c>
    </row>
    <row r="122" spans="2:10" x14ac:dyDescent="0.35">
      <c r="B122" s="5">
        <f t="shared" si="14"/>
        <v>19200</v>
      </c>
      <c r="C122" s="5">
        <v>24600</v>
      </c>
      <c r="D122" s="5">
        <f t="shared" si="12"/>
        <v>5400</v>
      </c>
      <c r="E122" s="91">
        <f>D122</f>
        <v>5400</v>
      </c>
      <c r="F122" s="91">
        <f>D122*0.5</f>
        <v>2700</v>
      </c>
      <c r="G122" s="91">
        <f>D122*0.5</f>
        <v>2700</v>
      </c>
    </row>
    <row r="123" spans="2:10" x14ac:dyDescent="0.35">
      <c r="B123" s="5">
        <f t="shared" si="14"/>
        <v>24600</v>
      </c>
      <c r="C123" s="5">
        <v>25000</v>
      </c>
      <c r="D123" s="5">
        <f t="shared" si="12"/>
        <v>400</v>
      </c>
      <c r="E123" s="91">
        <f>D123</f>
        <v>400</v>
      </c>
      <c r="F123" s="91">
        <f>D123</f>
        <v>400</v>
      </c>
    </row>
    <row r="124" spans="2:10" x14ac:dyDescent="0.35">
      <c r="B124" s="5">
        <f t="shared" si="14"/>
        <v>25000</v>
      </c>
      <c r="C124" s="5">
        <v>26000</v>
      </c>
      <c r="D124" s="5">
        <f t="shared" si="12"/>
        <v>1000</v>
      </c>
      <c r="I124" s="91">
        <f>D124</f>
        <v>1000</v>
      </c>
    </row>
    <row r="125" spans="2:10" x14ac:dyDescent="0.35">
      <c r="B125" s="5">
        <f t="shared" si="14"/>
        <v>26000</v>
      </c>
      <c r="C125" s="5">
        <v>27800</v>
      </c>
      <c r="D125" s="5">
        <f t="shared" si="12"/>
        <v>1800</v>
      </c>
      <c r="E125" s="91">
        <f>D125</f>
        <v>1800</v>
      </c>
      <c r="F125" s="91">
        <f>D125</f>
        <v>1800</v>
      </c>
    </row>
    <row r="126" spans="2:10" x14ac:dyDescent="0.35">
      <c r="B126" s="5">
        <f t="shared" si="14"/>
        <v>27800</v>
      </c>
      <c r="C126" s="5">
        <v>29300</v>
      </c>
      <c r="D126" s="5">
        <f t="shared" si="12"/>
        <v>1500</v>
      </c>
      <c r="E126" s="91">
        <f t="shared" ref="E126:E128" si="15">D126</f>
        <v>1500</v>
      </c>
      <c r="F126" s="91">
        <f t="shared" ref="F126:F127" si="16">D126</f>
        <v>1500</v>
      </c>
    </row>
    <row r="127" spans="2:10" x14ac:dyDescent="0.35">
      <c r="B127" s="5">
        <f t="shared" si="14"/>
        <v>29300</v>
      </c>
      <c r="C127" s="5">
        <v>29400</v>
      </c>
      <c r="D127" s="5">
        <f t="shared" si="12"/>
        <v>100</v>
      </c>
      <c r="E127" s="91">
        <f t="shared" si="15"/>
        <v>100</v>
      </c>
      <c r="F127" s="91">
        <f t="shared" si="16"/>
        <v>100</v>
      </c>
    </row>
    <row r="128" spans="2:10" x14ac:dyDescent="0.35">
      <c r="B128" s="5">
        <f t="shared" si="14"/>
        <v>29400</v>
      </c>
      <c r="C128" s="5">
        <v>47700</v>
      </c>
      <c r="D128" s="5">
        <f t="shared" si="12"/>
        <v>18300</v>
      </c>
      <c r="E128" s="91">
        <f t="shared" si="15"/>
        <v>18300</v>
      </c>
    </row>
    <row r="129" spans="1:10" x14ac:dyDescent="0.35">
      <c r="B129" s="5">
        <f t="shared" si="14"/>
        <v>47700</v>
      </c>
      <c r="C129" s="5">
        <v>53000</v>
      </c>
      <c r="D129" s="5">
        <f t="shared" si="12"/>
        <v>5300</v>
      </c>
      <c r="I129" s="91">
        <f>D129*0.5</f>
        <v>2650</v>
      </c>
      <c r="J129" s="92">
        <f>D129*0.5</f>
        <v>2650</v>
      </c>
    </row>
    <row r="130" spans="1:10" x14ac:dyDescent="0.35">
      <c r="B130" s="5">
        <f t="shared" si="14"/>
        <v>53000</v>
      </c>
      <c r="C130" s="5">
        <v>55450</v>
      </c>
      <c r="D130" s="5">
        <f t="shared" si="12"/>
        <v>2450</v>
      </c>
      <c r="E130" s="91">
        <f>D130</f>
        <v>2450</v>
      </c>
      <c r="F130" s="91">
        <f>D130</f>
        <v>2450</v>
      </c>
    </row>
    <row r="131" spans="1:10" x14ac:dyDescent="0.35">
      <c r="A131" s="77" t="s">
        <v>849</v>
      </c>
      <c r="D131" s="5">
        <f>SUM(D115:D130)</f>
        <v>55450</v>
      </c>
      <c r="E131" s="5">
        <f t="shared" ref="E131:J131" si="17">SUM(E115:E130)</f>
        <v>41950</v>
      </c>
      <c r="F131" s="5">
        <f t="shared" si="17"/>
        <v>14750</v>
      </c>
      <c r="G131" s="5">
        <f t="shared" si="17"/>
        <v>2700</v>
      </c>
      <c r="H131" s="5">
        <f t="shared" si="17"/>
        <v>2800</v>
      </c>
      <c r="I131" s="5">
        <f t="shared" si="17"/>
        <v>8650</v>
      </c>
      <c r="J131" s="5">
        <f t="shared" si="17"/>
        <v>4850</v>
      </c>
    </row>
    <row r="132" spans="1:10" x14ac:dyDescent="0.35">
      <c r="A132" s="77" t="s">
        <v>973</v>
      </c>
      <c r="E132" s="94">
        <f>Rates!C20</f>
        <v>60</v>
      </c>
      <c r="F132" s="94">
        <f>Rates!C28/5</f>
        <v>12.331999999999999</v>
      </c>
      <c r="G132" s="94">
        <f>Rates!C29/5</f>
        <v>14</v>
      </c>
      <c r="H132" s="94">
        <f>Rates!C30/5</f>
        <v>15.8</v>
      </c>
      <c r="I132" s="94">
        <f>Rates!C25</f>
        <v>84</v>
      </c>
      <c r="J132" s="95">
        <f>Rates!C26</f>
        <v>108</v>
      </c>
    </row>
    <row r="133" spans="1:10" x14ac:dyDescent="0.35">
      <c r="A133" s="77" t="s">
        <v>974</v>
      </c>
      <c r="E133" s="94">
        <f>E132*E131</f>
        <v>2517000</v>
      </c>
      <c r="F133" s="94">
        <f t="shared" ref="F133:J133" si="18">F132*F131</f>
        <v>181896.99999999997</v>
      </c>
      <c r="G133" s="94">
        <f t="shared" si="18"/>
        <v>37800</v>
      </c>
      <c r="H133" s="94">
        <f t="shared" si="18"/>
        <v>44240</v>
      </c>
      <c r="I133" s="94">
        <f t="shared" si="18"/>
        <v>726600</v>
      </c>
      <c r="J133" s="94">
        <f t="shared" si="18"/>
        <v>523800</v>
      </c>
    </row>
    <row r="134" spans="1:10" x14ac:dyDescent="0.35">
      <c r="A134" s="77"/>
    </row>
    <row r="135" spans="1:10" ht="15" thickBot="1" x14ac:dyDescent="0.4">
      <c r="A135" s="77" t="s">
        <v>808</v>
      </c>
      <c r="E135" s="97">
        <f>SUM(E133:J133)</f>
        <v>4031337</v>
      </c>
      <c r="F135" s="5">
        <f>E135/D131</f>
        <v>72.702200180342658</v>
      </c>
    </row>
    <row r="136" spans="1:10" ht="15" thickTop="1" x14ac:dyDescent="0.35"/>
    <row r="137" spans="1:10" x14ac:dyDescent="0.35">
      <c r="B137" s="104" t="s">
        <v>677</v>
      </c>
    </row>
    <row r="138" spans="1:10" x14ac:dyDescent="0.35">
      <c r="B138" s="102" t="s">
        <v>975</v>
      </c>
    </row>
    <row r="139" spans="1:10" x14ac:dyDescent="0.35">
      <c r="B139" s="102" t="s">
        <v>976</v>
      </c>
    </row>
    <row r="140" spans="1:10" x14ac:dyDescent="0.35">
      <c r="B140" s="80" t="s">
        <v>834</v>
      </c>
      <c r="C140" s="80" t="s">
        <v>835</v>
      </c>
      <c r="D140" s="80" t="s">
        <v>836</v>
      </c>
      <c r="E140" s="80" t="s">
        <v>977</v>
      </c>
      <c r="F140" s="80" t="s">
        <v>828</v>
      </c>
      <c r="G140" s="80" t="s">
        <v>978</v>
      </c>
    </row>
    <row r="141" spans="1:10" x14ac:dyDescent="0.35">
      <c r="B141" s="5">
        <v>30900</v>
      </c>
      <c r="C141" s="5">
        <v>40400</v>
      </c>
      <c r="D141" s="5">
        <f>C141-B141</f>
        <v>9500</v>
      </c>
      <c r="E141" s="5">
        <f>D141*2*0.15</f>
        <v>2850</v>
      </c>
      <c r="F141" s="5">
        <f>E141*1.5*6</f>
        <v>25650</v>
      </c>
      <c r="G141" s="5">
        <f>D141</f>
        <v>9500</v>
      </c>
    </row>
    <row r="142" spans="1:10" x14ac:dyDescent="0.35">
      <c r="B142" s="5">
        <v>41800</v>
      </c>
      <c r="C142" s="5">
        <v>45300</v>
      </c>
      <c r="D142" s="5">
        <f t="shared" ref="D142:D143" si="19">C142-B142</f>
        <v>3500</v>
      </c>
      <c r="E142" s="5">
        <f t="shared" ref="E142:E143" si="20">D142*2*0.15</f>
        <v>1050</v>
      </c>
      <c r="F142" s="5">
        <f t="shared" ref="F142:F143" si="21">E142*1.5*5</f>
        <v>7875</v>
      </c>
      <c r="G142" s="5">
        <f t="shared" ref="G142:G143" si="22">D142</f>
        <v>3500</v>
      </c>
    </row>
    <row r="143" spans="1:10" x14ac:dyDescent="0.35">
      <c r="B143" s="5">
        <v>46000</v>
      </c>
      <c r="C143" s="5">
        <v>49200</v>
      </c>
      <c r="D143" s="5">
        <f t="shared" si="19"/>
        <v>3200</v>
      </c>
      <c r="E143" s="5">
        <f t="shared" si="20"/>
        <v>960</v>
      </c>
      <c r="F143" s="5">
        <f t="shared" si="21"/>
        <v>7200</v>
      </c>
      <c r="G143" s="5">
        <f t="shared" si="22"/>
        <v>3200</v>
      </c>
    </row>
    <row r="144" spans="1:10" x14ac:dyDescent="0.35">
      <c r="E144" s="82">
        <f>SUM(E141:E143)</f>
        <v>4860</v>
      </c>
      <c r="F144" s="96">
        <f t="shared" ref="F144" si="23">SUM(F141:F143)</f>
        <v>40725</v>
      </c>
      <c r="G144" s="96">
        <f>SUM(G141:G143)*Rates!C13</f>
        <v>567000</v>
      </c>
    </row>
    <row r="145" spans="2:15" ht="15" thickBot="1" x14ac:dyDescent="0.4">
      <c r="E145" s="82"/>
      <c r="F145" s="97" t="s">
        <v>808</v>
      </c>
      <c r="G145" s="97">
        <f>G144+F144</f>
        <v>607725</v>
      </c>
    </row>
    <row r="146" spans="2:15" ht="15" thickTop="1" x14ac:dyDescent="0.35"/>
    <row r="147" spans="2:15" x14ac:dyDescent="0.35">
      <c r="B147" s="90" t="s">
        <v>979</v>
      </c>
    </row>
    <row r="148" spans="2:15" x14ac:dyDescent="0.35">
      <c r="E148" s="80" t="s">
        <v>977</v>
      </c>
      <c r="F148" s="80" t="s">
        <v>828</v>
      </c>
      <c r="G148" s="80" t="s">
        <v>970</v>
      </c>
      <c r="H148" s="80" t="s">
        <v>980</v>
      </c>
    </row>
    <row r="149" spans="2:15" x14ac:dyDescent="0.35">
      <c r="E149" s="5">
        <f>J46</f>
        <v>400</v>
      </c>
      <c r="F149" s="94">
        <f>E149*10*1.5</f>
        <v>6000</v>
      </c>
      <c r="G149" s="94">
        <f>G132*E149</f>
        <v>5600</v>
      </c>
      <c r="H149" s="94">
        <f>5000/5*100</f>
        <v>100000</v>
      </c>
      <c r="I149" s="102" t="s">
        <v>981</v>
      </c>
    </row>
    <row r="151" spans="2:15" ht="15" thickBot="1" x14ac:dyDescent="0.4">
      <c r="G151" s="103" t="s">
        <v>808</v>
      </c>
      <c r="H151" s="97">
        <f>E149*Rates!C135+F149+G149+H149</f>
        <v>151600</v>
      </c>
    </row>
    <row r="152" spans="2:15" ht="15" thickTop="1" x14ac:dyDescent="0.35">
      <c r="G152" s="82"/>
      <c r="H152" s="108"/>
    </row>
    <row r="153" spans="2:15" x14ac:dyDescent="0.35">
      <c r="B153" s="90" t="s">
        <v>982</v>
      </c>
      <c r="G153" s="82"/>
      <c r="H153" s="108"/>
    </row>
    <row r="154" spans="2:15" x14ac:dyDescent="0.35">
      <c r="G154" s="82"/>
      <c r="H154" s="108"/>
    </row>
    <row r="155" spans="2:15" x14ac:dyDescent="0.35">
      <c r="E155" s="109" t="s">
        <v>5</v>
      </c>
      <c r="F155" s="80" t="s">
        <v>983</v>
      </c>
      <c r="G155" s="80" t="s">
        <v>984</v>
      </c>
    </row>
    <row r="156" spans="2:15" x14ac:dyDescent="0.35">
      <c r="E156" s="102" t="s">
        <v>985</v>
      </c>
      <c r="F156" s="5">
        <f>2</f>
        <v>2</v>
      </c>
      <c r="G156" s="94">
        <f>F156*Rates!C41</f>
        <v>5389.5238095238092</v>
      </c>
    </row>
    <row r="157" spans="2:15" x14ac:dyDescent="0.35">
      <c r="E157" s="102" t="s">
        <v>286</v>
      </c>
      <c r="F157" s="5">
        <v>2</v>
      </c>
      <c r="G157" s="94">
        <f>F157*Rates!C40</f>
        <v>68090</v>
      </c>
    </row>
    <row r="158" spans="2:15" x14ac:dyDescent="0.35">
      <c r="E158" s="102" t="s">
        <v>986</v>
      </c>
      <c r="F158" s="5">
        <v>270</v>
      </c>
      <c r="G158" s="94">
        <f>F158*Rates!C53</f>
        <v>202500</v>
      </c>
    </row>
    <row r="159" spans="2:15" x14ac:dyDescent="0.35">
      <c r="E159" s="102" t="s">
        <v>987</v>
      </c>
      <c r="F159" s="5">
        <v>10</v>
      </c>
      <c r="G159" s="94">
        <f>F159*Rates!C43</f>
        <v>7500</v>
      </c>
    </row>
    <row r="160" spans="2:15" ht="15" thickBot="1" x14ac:dyDescent="0.4">
      <c r="E160" s="103" t="s">
        <v>808</v>
      </c>
      <c r="F160" s="105"/>
      <c r="G160" s="97">
        <f>SUM(G156:G159)</f>
        <v>283479.52380952379</v>
      </c>
      <c r="N160" s="155" t="s">
        <v>964</v>
      </c>
      <c r="O160" s="154">
        <f>S111+G160</f>
        <v>6015429.5238095243</v>
      </c>
    </row>
    <row r="161" spans="2:8" ht="15" thickTop="1" x14ac:dyDescent="0.35"/>
    <row r="162" spans="2:8" ht="15" thickBot="1" x14ac:dyDescent="0.4">
      <c r="F162" s="103" t="s">
        <v>988</v>
      </c>
      <c r="G162" s="105"/>
      <c r="H162" s="97">
        <f>E110+E135+G145+H151</f>
        <v>11275657.238095239</v>
      </c>
    </row>
    <row r="163" spans="2:8" ht="15" thickTop="1" x14ac:dyDescent="0.35"/>
    <row r="165" spans="2:8" x14ac:dyDescent="0.35">
      <c r="B165" s="90" t="s">
        <v>989</v>
      </c>
    </row>
    <row r="167" spans="2:8" x14ac:dyDescent="0.35">
      <c r="E167" s="77" t="s">
        <v>746</v>
      </c>
      <c r="F167" s="42"/>
      <c r="G167" s="78"/>
      <c r="H167"/>
    </row>
    <row r="168" spans="2:8" x14ac:dyDescent="0.35">
      <c r="E168" s="110" t="s">
        <v>747</v>
      </c>
      <c r="F168" s="2"/>
      <c r="G168" s="78">
        <f>O108*0.1</f>
        <v>476370</v>
      </c>
      <c r="H168" t="s">
        <v>748</v>
      </c>
    </row>
    <row r="169" spans="2:8" x14ac:dyDescent="0.35">
      <c r="E169" s="110" t="s">
        <v>990</v>
      </c>
      <c r="F169" s="2"/>
      <c r="G169" s="78">
        <v>50000</v>
      </c>
      <c r="H169" t="s">
        <v>991</v>
      </c>
    </row>
    <row r="170" spans="2:8" x14ac:dyDescent="0.35">
      <c r="E170" s="110" t="s">
        <v>749</v>
      </c>
      <c r="F170" s="2"/>
      <c r="G170" s="78">
        <v>15000</v>
      </c>
      <c r="H170" t="s">
        <v>750</v>
      </c>
    </row>
    <row r="171" spans="2:8" x14ac:dyDescent="0.35">
      <c r="E171" s="110" t="s">
        <v>992</v>
      </c>
      <c r="F171" s="2"/>
      <c r="G171" s="78">
        <f>H162*0.1</f>
        <v>1127565.723809524</v>
      </c>
      <c r="H171" t="s">
        <v>748</v>
      </c>
    </row>
    <row r="172" spans="2:8" x14ac:dyDescent="0.35">
      <c r="E172" s="102" t="s">
        <v>993</v>
      </c>
      <c r="G172" s="94">
        <v>250000</v>
      </c>
    </row>
    <row r="174" spans="2:8" x14ac:dyDescent="0.35">
      <c r="G174" s="94">
        <f>SUM(G168:G172)</f>
        <v>1918935.723809524</v>
      </c>
    </row>
    <row r="176" spans="2:8" x14ac:dyDescent="0.35">
      <c r="G176" s="96">
        <f>H162+G174</f>
        <v>13194592.961904762</v>
      </c>
    </row>
    <row r="181" spans="2:21" x14ac:dyDescent="0.35">
      <c r="B181" s="90" t="s">
        <v>994</v>
      </c>
    </row>
    <row r="182" spans="2:21" x14ac:dyDescent="0.35">
      <c r="B182" s="80" t="s">
        <v>834</v>
      </c>
      <c r="C182" s="80" t="s">
        <v>835</v>
      </c>
      <c r="D182" s="80" t="s">
        <v>836</v>
      </c>
      <c r="E182" s="233" t="s">
        <v>837</v>
      </c>
      <c r="F182" s="234"/>
      <c r="G182" s="234"/>
      <c r="H182" s="234"/>
      <c r="I182" s="235"/>
      <c r="J182" s="80" t="s">
        <v>677</v>
      </c>
      <c r="K182" s="80" t="s">
        <v>838</v>
      </c>
      <c r="L182" s="80" t="s">
        <v>839</v>
      </c>
      <c r="M182" s="80" t="s">
        <v>840</v>
      </c>
      <c r="N182" s="80" t="s">
        <v>711</v>
      </c>
      <c r="O182" s="80" t="s">
        <v>707</v>
      </c>
      <c r="P182" s="81" t="s">
        <v>841</v>
      </c>
      <c r="Q182" s="81" t="s">
        <v>842</v>
      </c>
      <c r="R182" s="236" t="s">
        <v>843</v>
      </c>
      <c r="S182" s="236"/>
      <c r="T182" s="236"/>
    </row>
    <row r="183" spans="2:21" x14ac:dyDescent="0.35">
      <c r="B183" s="82"/>
      <c r="C183" s="82"/>
      <c r="E183" s="80" t="s">
        <v>666</v>
      </c>
      <c r="F183" s="80" t="s">
        <v>668</v>
      </c>
      <c r="G183" s="80" t="s">
        <v>670</v>
      </c>
      <c r="H183" s="80" t="s">
        <v>845</v>
      </c>
      <c r="I183" s="80" t="s">
        <v>846</v>
      </c>
      <c r="J183" s="82"/>
      <c r="K183" s="82"/>
      <c r="L183" s="82"/>
      <c r="M183" s="82"/>
      <c r="N183" s="82"/>
      <c r="O183" s="82"/>
      <c r="P183" s="82"/>
      <c r="Q183" s="82"/>
      <c r="R183" s="80">
        <v>750</v>
      </c>
      <c r="S183" s="80" t="s">
        <v>738</v>
      </c>
      <c r="T183" s="80" t="s">
        <v>739</v>
      </c>
    </row>
    <row r="184" spans="2:21" x14ac:dyDescent="0.35">
      <c r="B184" s="5">
        <v>0</v>
      </c>
      <c r="C184" s="5">
        <v>400</v>
      </c>
      <c r="D184" s="5">
        <f>C184-B184</f>
        <v>400</v>
      </c>
      <c r="F184" s="5">
        <f>D184</f>
        <v>400</v>
      </c>
      <c r="M184" s="5">
        <f>D184</f>
        <v>400</v>
      </c>
    </row>
    <row r="185" spans="2:21" x14ac:dyDescent="0.35">
      <c r="B185" s="5">
        <f>C184</f>
        <v>400</v>
      </c>
      <c r="C185" s="5">
        <v>1050</v>
      </c>
      <c r="D185" s="5">
        <f t="shared" ref="D185:D204" si="24">C185-B185</f>
        <v>650</v>
      </c>
      <c r="G185" s="5">
        <f>D185</f>
        <v>650</v>
      </c>
      <c r="M185" s="5">
        <f t="shared" ref="M185:M196" si="25">D185</f>
        <v>650</v>
      </c>
    </row>
    <row r="186" spans="2:21" x14ac:dyDescent="0.35">
      <c r="B186" s="5">
        <f t="shared" ref="B186:B204" si="26">C185</f>
        <v>1050</v>
      </c>
      <c r="C186" s="5">
        <v>2700</v>
      </c>
      <c r="D186" s="5">
        <f t="shared" si="24"/>
        <v>1650</v>
      </c>
      <c r="M186" s="5">
        <f t="shared" si="25"/>
        <v>1650</v>
      </c>
      <c r="O186" s="5">
        <f>D186</f>
        <v>1650</v>
      </c>
      <c r="U186" s="1" t="s">
        <v>995</v>
      </c>
    </row>
    <row r="187" spans="2:21" x14ac:dyDescent="0.35">
      <c r="B187" s="5">
        <f t="shared" si="26"/>
        <v>2700</v>
      </c>
      <c r="C187" s="5">
        <v>2900</v>
      </c>
      <c r="D187" s="5">
        <f t="shared" si="24"/>
        <v>200</v>
      </c>
      <c r="M187" s="5">
        <f t="shared" si="25"/>
        <v>200</v>
      </c>
      <c r="O187" s="5">
        <f>D187</f>
        <v>200</v>
      </c>
      <c r="U187" s="1" t="s">
        <v>996</v>
      </c>
    </row>
    <row r="188" spans="2:21" x14ac:dyDescent="0.35">
      <c r="B188" s="5">
        <f t="shared" si="26"/>
        <v>2900</v>
      </c>
      <c r="C188" s="5">
        <v>3050</v>
      </c>
      <c r="D188" s="5">
        <f t="shared" si="24"/>
        <v>150</v>
      </c>
      <c r="H188" s="5">
        <f>D188</f>
        <v>150</v>
      </c>
      <c r="M188" s="5">
        <f t="shared" si="25"/>
        <v>150</v>
      </c>
    </row>
    <row r="189" spans="2:21" x14ac:dyDescent="0.35">
      <c r="B189" s="5">
        <f t="shared" si="26"/>
        <v>3050</v>
      </c>
      <c r="C189" s="5">
        <v>3580</v>
      </c>
      <c r="D189" s="5">
        <f t="shared" si="24"/>
        <v>530</v>
      </c>
      <c r="G189" s="5">
        <f>D189</f>
        <v>530</v>
      </c>
      <c r="M189" s="5">
        <f t="shared" si="25"/>
        <v>530</v>
      </c>
    </row>
    <row r="190" spans="2:21" x14ac:dyDescent="0.35">
      <c r="B190" s="5">
        <f t="shared" si="26"/>
        <v>3580</v>
      </c>
      <c r="C190" s="5">
        <v>3600</v>
      </c>
      <c r="D190" s="5">
        <f t="shared" si="24"/>
        <v>20</v>
      </c>
      <c r="M190" s="5">
        <f t="shared" si="25"/>
        <v>20</v>
      </c>
      <c r="O190" s="5">
        <f>D190</f>
        <v>20</v>
      </c>
    </row>
    <row r="191" spans="2:21" x14ac:dyDescent="0.35">
      <c r="B191" s="5">
        <f t="shared" si="26"/>
        <v>3600</v>
      </c>
      <c r="C191" s="5">
        <v>3640</v>
      </c>
      <c r="D191" s="5">
        <f t="shared" si="24"/>
        <v>40</v>
      </c>
      <c r="G191" s="5">
        <f>D191</f>
        <v>40</v>
      </c>
      <c r="M191" s="5">
        <f t="shared" si="25"/>
        <v>40</v>
      </c>
    </row>
    <row r="192" spans="2:21" x14ac:dyDescent="0.35">
      <c r="B192" s="5">
        <f t="shared" si="26"/>
        <v>3640</v>
      </c>
      <c r="C192" s="5">
        <v>3740</v>
      </c>
      <c r="D192" s="5">
        <f t="shared" si="24"/>
        <v>100</v>
      </c>
      <c r="M192" s="5">
        <f t="shared" si="25"/>
        <v>100</v>
      </c>
      <c r="O192" s="5">
        <f>D192</f>
        <v>100</v>
      </c>
    </row>
    <row r="193" spans="2:20" x14ac:dyDescent="0.35">
      <c r="B193" s="5">
        <f t="shared" si="26"/>
        <v>3740</v>
      </c>
      <c r="C193" s="5">
        <v>4260</v>
      </c>
      <c r="D193" s="5">
        <f t="shared" si="24"/>
        <v>520</v>
      </c>
      <c r="H193" s="5">
        <f>D193</f>
        <v>520</v>
      </c>
      <c r="M193" s="5">
        <f t="shared" si="25"/>
        <v>520</v>
      </c>
    </row>
    <row r="194" spans="2:20" x14ac:dyDescent="0.35">
      <c r="B194" s="5">
        <f t="shared" si="26"/>
        <v>4260</v>
      </c>
      <c r="C194" s="5">
        <v>4650</v>
      </c>
      <c r="D194" s="5">
        <f t="shared" si="24"/>
        <v>390</v>
      </c>
      <c r="F194" s="5">
        <f>D194</f>
        <v>390</v>
      </c>
      <c r="M194" s="5">
        <f t="shared" si="25"/>
        <v>390</v>
      </c>
      <c r="O194" s="2">
        <v>25</v>
      </c>
    </row>
    <row r="195" spans="2:20" x14ac:dyDescent="0.35">
      <c r="B195" s="5">
        <f t="shared" si="26"/>
        <v>4650</v>
      </c>
      <c r="C195" s="5">
        <v>4780</v>
      </c>
      <c r="D195" s="5">
        <f t="shared" si="24"/>
        <v>130</v>
      </c>
      <c r="F195" s="5">
        <f t="shared" ref="F195:F196" si="27">D195</f>
        <v>130</v>
      </c>
      <c r="M195" s="5">
        <f t="shared" si="25"/>
        <v>130</v>
      </c>
      <c r="O195" s="2">
        <v>15</v>
      </c>
    </row>
    <row r="196" spans="2:20" x14ac:dyDescent="0.35">
      <c r="B196" s="5">
        <f t="shared" si="26"/>
        <v>4780</v>
      </c>
      <c r="C196" s="5">
        <v>5350</v>
      </c>
      <c r="D196" s="5">
        <f t="shared" si="24"/>
        <v>570</v>
      </c>
      <c r="F196" s="5">
        <f t="shared" si="27"/>
        <v>570</v>
      </c>
      <c r="M196" s="5">
        <f t="shared" si="25"/>
        <v>570</v>
      </c>
    </row>
    <row r="197" spans="2:20" x14ac:dyDescent="0.35">
      <c r="B197" s="5">
        <f t="shared" si="26"/>
        <v>5350</v>
      </c>
      <c r="C197" s="5">
        <v>6100</v>
      </c>
      <c r="D197" s="5">
        <f t="shared" si="24"/>
        <v>750</v>
      </c>
      <c r="G197" s="5">
        <f>D197</f>
        <v>750</v>
      </c>
      <c r="L197" s="5">
        <f>D197</f>
        <v>750</v>
      </c>
      <c r="M197" s="5">
        <v>0</v>
      </c>
      <c r="O197" s="2">
        <v>24</v>
      </c>
    </row>
    <row r="198" spans="2:20" x14ac:dyDescent="0.35">
      <c r="B198" s="5">
        <f t="shared" si="26"/>
        <v>6100</v>
      </c>
      <c r="C198" s="5">
        <v>6800</v>
      </c>
      <c r="D198" s="5">
        <f t="shared" si="24"/>
        <v>700</v>
      </c>
      <c r="G198" s="5">
        <f>D198</f>
        <v>700</v>
      </c>
      <c r="L198" s="5">
        <f t="shared" ref="L198:L204" si="28">D198</f>
        <v>700</v>
      </c>
      <c r="M198" s="5">
        <v>0</v>
      </c>
    </row>
    <row r="199" spans="2:20" x14ac:dyDescent="0.35">
      <c r="B199" s="5">
        <f t="shared" si="26"/>
        <v>6800</v>
      </c>
      <c r="C199" s="5">
        <v>7400</v>
      </c>
      <c r="D199" s="5">
        <f t="shared" si="24"/>
        <v>600</v>
      </c>
      <c r="H199" s="5">
        <f>D199</f>
        <v>600</v>
      </c>
      <c r="L199" s="5">
        <f t="shared" si="28"/>
        <v>600</v>
      </c>
      <c r="M199" s="5">
        <v>0</v>
      </c>
    </row>
    <row r="200" spans="2:20" x14ac:dyDescent="0.35">
      <c r="B200" s="5">
        <f t="shared" si="26"/>
        <v>7400</v>
      </c>
      <c r="C200" s="5">
        <v>7700</v>
      </c>
      <c r="D200" s="5">
        <f t="shared" si="24"/>
        <v>300</v>
      </c>
      <c r="G200" s="5">
        <f>D200</f>
        <v>300</v>
      </c>
      <c r="L200" s="5">
        <f t="shared" si="28"/>
        <v>300</v>
      </c>
      <c r="M200" s="5">
        <v>0</v>
      </c>
    </row>
    <row r="201" spans="2:20" x14ac:dyDescent="0.35">
      <c r="B201" s="5">
        <f t="shared" si="26"/>
        <v>7700</v>
      </c>
      <c r="C201" s="5">
        <v>8100</v>
      </c>
      <c r="D201" s="5">
        <f t="shared" si="24"/>
        <v>400</v>
      </c>
      <c r="F201" s="5">
        <f>D201</f>
        <v>400</v>
      </c>
      <c r="L201" s="5">
        <f t="shared" si="28"/>
        <v>400</v>
      </c>
      <c r="M201" s="5">
        <v>0</v>
      </c>
    </row>
    <row r="202" spans="2:20" x14ac:dyDescent="0.35">
      <c r="B202" s="5">
        <f t="shared" si="26"/>
        <v>8100</v>
      </c>
      <c r="C202" s="5">
        <v>8400</v>
      </c>
      <c r="D202" s="5">
        <f t="shared" si="24"/>
        <v>300</v>
      </c>
      <c r="H202" s="5">
        <f>D202</f>
        <v>300</v>
      </c>
      <c r="L202" s="5">
        <f t="shared" si="28"/>
        <v>300</v>
      </c>
      <c r="M202" s="5">
        <v>0</v>
      </c>
    </row>
    <row r="203" spans="2:20" x14ac:dyDescent="0.35">
      <c r="B203" s="5">
        <f t="shared" si="26"/>
        <v>8400</v>
      </c>
      <c r="C203" s="5">
        <v>8600</v>
      </c>
      <c r="D203" s="5">
        <f t="shared" si="24"/>
        <v>200</v>
      </c>
      <c r="G203" s="5">
        <f>D203</f>
        <v>200</v>
      </c>
      <c r="L203" s="5">
        <f t="shared" si="28"/>
        <v>200</v>
      </c>
      <c r="M203" s="5">
        <v>0</v>
      </c>
    </row>
    <row r="204" spans="2:20" x14ac:dyDescent="0.35">
      <c r="B204" s="5">
        <f t="shared" si="26"/>
        <v>8600</v>
      </c>
      <c r="C204" s="5">
        <v>8830</v>
      </c>
      <c r="D204" s="5">
        <f t="shared" si="24"/>
        <v>230</v>
      </c>
      <c r="G204" s="5">
        <f>D204</f>
        <v>230</v>
      </c>
      <c r="L204" s="5">
        <f t="shared" si="28"/>
        <v>230</v>
      </c>
      <c r="M204" s="5">
        <v>0</v>
      </c>
    </row>
    <row r="205" spans="2:20" x14ac:dyDescent="0.35">
      <c r="B205" s="239" t="s">
        <v>849</v>
      </c>
      <c r="C205" s="239"/>
      <c r="D205" s="5">
        <f>SUM(D184:D204)</f>
        <v>8830</v>
      </c>
      <c r="E205" s="5">
        <f t="shared" ref="E205:Q205" si="29">SUM(E203:E204)</f>
        <v>0</v>
      </c>
      <c r="F205" s="5">
        <f>SUM(F184:F204)</f>
        <v>1890</v>
      </c>
      <c r="G205" s="5">
        <f>SUM(G184:G204)</f>
        <v>3400</v>
      </c>
      <c r="H205" s="5">
        <f>SUM(H184:H204)</f>
        <v>1570</v>
      </c>
      <c r="I205" s="5">
        <f t="shared" si="29"/>
        <v>0</v>
      </c>
      <c r="J205" s="5">
        <f t="shared" si="29"/>
        <v>0</v>
      </c>
      <c r="K205" s="5">
        <f t="shared" si="29"/>
        <v>0</v>
      </c>
      <c r="L205" s="5">
        <f>SUM(L197:L204)</f>
        <v>3480</v>
      </c>
      <c r="M205" s="5">
        <f>SUM(M184:M204)</f>
        <v>5350</v>
      </c>
      <c r="N205" s="5">
        <f t="shared" si="29"/>
        <v>0</v>
      </c>
      <c r="O205" s="5">
        <f>SUM(O184:O204)</f>
        <v>2034</v>
      </c>
      <c r="P205" s="5">
        <f t="shared" si="29"/>
        <v>0</v>
      </c>
      <c r="Q205" s="5">
        <f t="shared" si="29"/>
        <v>0</v>
      </c>
      <c r="R205" s="5">
        <f>SUM(R203:R204)</f>
        <v>0</v>
      </c>
    </row>
    <row r="206" spans="2:20" x14ac:dyDescent="0.35">
      <c r="B206" s="239" t="s">
        <v>851</v>
      </c>
      <c r="C206" s="239"/>
      <c r="D206" s="2"/>
      <c r="E206" s="95">
        <f>Rates!C202*E205</f>
        <v>0</v>
      </c>
      <c r="F206" s="95">
        <f>F205*Rates!C7</f>
        <v>135000</v>
      </c>
      <c r="G206" s="95">
        <f>G205*Rates!C8</f>
        <v>850000</v>
      </c>
      <c r="H206" s="95">
        <f>H205*Rates!C9</f>
        <v>785000</v>
      </c>
      <c r="I206" s="2"/>
      <c r="L206" s="95">
        <f>L205*Rates!$C$20</f>
        <v>208800</v>
      </c>
      <c r="M206" s="95">
        <f>M205*Rates!$C$26</f>
        <v>577800</v>
      </c>
      <c r="O206" s="95">
        <f>O205*Rates!$C$34</f>
        <v>13627800</v>
      </c>
      <c r="Q206" s="95">
        <f>6*3*Rates!C233</f>
        <v>0</v>
      </c>
      <c r="R206" s="95">
        <f>R205*Rates!$C$50</f>
        <v>0</v>
      </c>
    </row>
    <row r="207" spans="2:20" x14ac:dyDescent="0.35">
      <c r="B207" s="240" t="s">
        <v>852</v>
      </c>
      <c r="C207" s="241"/>
      <c r="D207" s="146"/>
      <c r="E207" s="149"/>
      <c r="F207" s="146"/>
      <c r="G207" s="146"/>
      <c r="H207" s="146"/>
      <c r="I207" s="146"/>
      <c r="J207" s="146"/>
      <c r="K207" s="146"/>
      <c r="L207" s="149"/>
      <c r="M207" s="147">
        <f>SUM(E206:M206)</f>
        <v>2556600</v>
      </c>
      <c r="Q207" s="95"/>
    </row>
    <row r="208" spans="2:20" x14ac:dyDescent="0.35">
      <c r="B208" s="237" t="s">
        <v>284</v>
      </c>
      <c r="C208" s="238"/>
      <c r="D208" s="86"/>
      <c r="E208" s="148"/>
      <c r="F208" s="86"/>
      <c r="G208" s="86"/>
      <c r="H208" s="86"/>
      <c r="I208" s="86"/>
      <c r="J208" s="86"/>
      <c r="K208" s="86"/>
      <c r="L208" s="148"/>
      <c r="M208" s="86"/>
      <c r="N208" s="86"/>
      <c r="O208" s="86"/>
      <c r="P208" s="86"/>
      <c r="Q208" s="148"/>
      <c r="R208" s="86"/>
      <c r="S208" s="86"/>
      <c r="T208" s="150">
        <f>SUM(N206:T206)</f>
        <v>13627800</v>
      </c>
    </row>
    <row r="211" spans="2:20" x14ac:dyDescent="0.35">
      <c r="B211" s="90" t="s">
        <v>997</v>
      </c>
    </row>
    <row r="212" spans="2:20" x14ac:dyDescent="0.35">
      <c r="B212" s="80" t="s">
        <v>834</v>
      </c>
      <c r="C212" s="80" t="s">
        <v>835</v>
      </c>
      <c r="D212" s="80" t="s">
        <v>836</v>
      </c>
      <c r="E212" s="233" t="s">
        <v>837</v>
      </c>
      <c r="F212" s="234"/>
      <c r="G212" s="234"/>
      <c r="H212" s="234"/>
      <c r="I212" s="235"/>
      <c r="J212" s="80" t="s">
        <v>677</v>
      </c>
      <c r="K212" s="80" t="s">
        <v>838</v>
      </c>
      <c r="L212" s="80" t="s">
        <v>839</v>
      </c>
      <c r="M212" s="80" t="s">
        <v>840</v>
      </c>
      <c r="N212" s="80" t="s">
        <v>711</v>
      </c>
      <c r="O212" s="80" t="s">
        <v>707</v>
      </c>
      <c r="P212" s="81" t="s">
        <v>841</v>
      </c>
      <c r="Q212" s="81" t="s">
        <v>842</v>
      </c>
      <c r="R212" s="236" t="s">
        <v>843</v>
      </c>
      <c r="S212" s="236"/>
      <c r="T212" s="236"/>
    </row>
    <row r="213" spans="2:20" x14ac:dyDescent="0.35">
      <c r="B213" s="82"/>
      <c r="C213" s="82"/>
      <c r="E213" s="80" t="s">
        <v>666</v>
      </c>
      <c r="F213" s="80" t="s">
        <v>668</v>
      </c>
      <c r="G213" s="80" t="s">
        <v>670</v>
      </c>
      <c r="H213" s="80" t="s">
        <v>845</v>
      </c>
      <c r="I213" s="80" t="s">
        <v>846</v>
      </c>
      <c r="J213" s="82"/>
      <c r="K213" s="82"/>
      <c r="L213" s="82"/>
      <c r="M213" s="82"/>
      <c r="N213" s="82"/>
      <c r="O213" s="82"/>
      <c r="P213" s="82"/>
      <c r="Q213" s="82"/>
      <c r="R213" s="80">
        <v>750</v>
      </c>
      <c r="S213" s="80" t="s">
        <v>738</v>
      </c>
      <c r="T213" s="80" t="s">
        <v>739</v>
      </c>
    </row>
    <row r="214" spans="2:20" x14ac:dyDescent="0.35">
      <c r="B214" s="5">
        <v>0</v>
      </c>
      <c r="C214" s="5">
        <v>1400</v>
      </c>
      <c r="D214" s="5">
        <f>C214-B214</f>
        <v>1400</v>
      </c>
      <c r="F214" s="5">
        <f>D214</f>
        <v>1400</v>
      </c>
      <c r="L214" s="5">
        <f>D214</f>
        <v>1400</v>
      </c>
      <c r="R214" s="2">
        <v>6</v>
      </c>
      <c r="S214" s="2">
        <v>1</v>
      </c>
    </row>
    <row r="215" spans="2:20" x14ac:dyDescent="0.35">
      <c r="B215" s="5">
        <f>C214</f>
        <v>1400</v>
      </c>
      <c r="C215" s="5">
        <v>3100</v>
      </c>
      <c r="D215" s="5">
        <f t="shared" ref="D215:D271" si="30">C215-B215</f>
        <v>1700</v>
      </c>
      <c r="F215" s="5">
        <f>D215</f>
        <v>1700</v>
      </c>
      <c r="L215" s="5">
        <f t="shared" ref="L215:L248" si="31">D215</f>
        <v>1700</v>
      </c>
      <c r="R215" s="2">
        <v>6</v>
      </c>
      <c r="S215" s="2">
        <v>1</v>
      </c>
    </row>
    <row r="216" spans="2:20" x14ac:dyDescent="0.35">
      <c r="B216" s="5">
        <f t="shared" ref="B216:B250" si="32">C215</f>
        <v>3100</v>
      </c>
      <c r="C216" s="5">
        <v>3300</v>
      </c>
      <c r="D216" s="5">
        <f t="shared" si="30"/>
        <v>200</v>
      </c>
      <c r="G216" s="5">
        <f>D216</f>
        <v>200</v>
      </c>
      <c r="L216" s="5">
        <f t="shared" si="31"/>
        <v>200</v>
      </c>
      <c r="R216" s="2">
        <v>1</v>
      </c>
    </row>
    <row r="217" spans="2:20" x14ac:dyDescent="0.35">
      <c r="B217" s="5">
        <f t="shared" si="32"/>
        <v>3300</v>
      </c>
      <c r="C217" s="5">
        <v>3650</v>
      </c>
      <c r="D217" s="5">
        <f t="shared" si="30"/>
        <v>350</v>
      </c>
      <c r="F217" s="5">
        <f>D217</f>
        <v>350</v>
      </c>
      <c r="L217" s="5">
        <f t="shared" si="31"/>
        <v>350</v>
      </c>
      <c r="R217" s="2">
        <v>1</v>
      </c>
    </row>
    <row r="218" spans="2:20" x14ac:dyDescent="0.35">
      <c r="B218" s="5">
        <f t="shared" si="32"/>
        <v>3650</v>
      </c>
      <c r="C218" s="5">
        <v>3800</v>
      </c>
      <c r="D218" s="5">
        <f t="shared" si="30"/>
        <v>150</v>
      </c>
      <c r="G218" s="5">
        <f>D218</f>
        <v>150</v>
      </c>
      <c r="L218" s="5">
        <f t="shared" si="31"/>
        <v>150</v>
      </c>
      <c r="R218" s="2">
        <v>1</v>
      </c>
    </row>
    <row r="219" spans="2:20" x14ac:dyDescent="0.35">
      <c r="B219" s="5">
        <f t="shared" si="32"/>
        <v>3800</v>
      </c>
      <c r="C219" s="5">
        <v>4600</v>
      </c>
      <c r="D219" s="5">
        <f t="shared" si="30"/>
        <v>800</v>
      </c>
      <c r="F219" s="5">
        <f>D219</f>
        <v>800</v>
      </c>
      <c r="L219" s="5">
        <f t="shared" si="31"/>
        <v>800</v>
      </c>
      <c r="O219" s="2">
        <v>10</v>
      </c>
    </row>
    <row r="220" spans="2:20" x14ac:dyDescent="0.35">
      <c r="B220" s="5">
        <f t="shared" si="32"/>
        <v>4600</v>
      </c>
      <c r="C220" s="5">
        <v>5100</v>
      </c>
      <c r="D220" s="5">
        <f t="shared" si="30"/>
        <v>500</v>
      </c>
      <c r="E220" s="5">
        <f>D220</f>
        <v>500</v>
      </c>
      <c r="L220" s="5">
        <f t="shared" si="31"/>
        <v>500</v>
      </c>
      <c r="O220" s="2">
        <v>30</v>
      </c>
    </row>
    <row r="221" spans="2:20" x14ac:dyDescent="0.35">
      <c r="B221" s="5">
        <f t="shared" si="32"/>
        <v>5100</v>
      </c>
      <c r="C221" s="5">
        <v>5250</v>
      </c>
      <c r="D221" s="5">
        <f t="shared" si="30"/>
        <v>150</v>
      </c>
      <c r="F221" s="5">
        <f>D221</f>
        <v>150</v>
      </c>
      <c r="J221" s="2">
        <f>3*D221</f>
        <v>450</v>
      </c>
      <c r="L221" s="5">
        <f t="shared" si="31"/>
        <v>150</v>
      </c>
      <c r="R221" s="2">
        <v>1</v>
      </c>
    </row>
    <row r="222" spans="2:20" x14ac:dyDescent="0.35">
      <c r="B222" s="5">
        <f t="shared" si="32"/>
        <v>5250</v>
      </c>
      <c r="C222" s="5">
        <v>5350</v>
      </c>
      <c r="D222" s="5">
        <f t="shared" si="30"/>
        <v>100</v>
      </c>
      <c r="F222" s="5">
        <f>D222</f>
        <v>100</v>
      </c>
      <c r="L222" s="5">
        <f t="shared" si="31"/>
        <v>100</v>
      </c>
    </row>
    <row r="223" spans="2:20" x14ac:dyDescent="0.35">
      <c r="B223" s="5">
        <f t="shared" si="32"/>
        <v>5350</v>
      </c>
      <c r="C223" s="5">
        <v>5720</v>
      </c>
      <c r="D223" s="5">
        <f t="shared" si="30"/>
        <v>370</v>
      </c>
      <c r="E223" s="5">
        <f>D223</f>
        <v>370</v>
      </c>
      <c r="J223" s="2">
        <f>50*2.5*0.3</f>
        <v>37.5</v>
      </c>
      <c r="L223" s="5">
        <f t="shared" si="31"/>
        <v>370</v>
      </c>
      <c r="O223" s="2">
        <f>6*2</f>
        <v>12</v>
      </c>
    </row>
    <row r="224" spans="2:20" x14ac:dyDescent="0.35">
      <c r="B224" s="5">
        <f t="shared" si="32"/>
        <v>5720</v>
      </c>
      <c r="C224" s="5">
        <v>5900</v>
      </c>
      <c r="D224" s="5">
        <f t="shared" si="30"/>
        <v>180</v>
      </c>
      <c r="E224" s="5">
        <f>D224</f>
        <v>180</v>
      </c>
      <c r="L224" s="5">
        <f t="shared" si="31"/>
        <v>180</v>
      </c>
      <c r="R224" s="2">
        <v>1</v>
      </c>
    </row>
    <row r="225" spans="2:21" x14ac:dyDescent="0.35">
      <c r="B225" s="5">
        <f t="shared" si="32"/>
        <v>5900</v>
      </c>
      <c r="C225" s="5">
        <v>6220</v>
      </c>
      <c r="D225" s="5">
        <f t="shared" si="30"/>
        <v>320</v>
      </c>
      <c r="E225" s="5">
        <f t="shared" ref="E225:E229" si="33">D225</f>
        <v>320</v>
      </c>
      <c r="J225" s="2">
        <f>5*D225</f>
        <v>1600</v>
      </c>
      <c r="L225" s="5">
        <f t="shared" si="31"/>
        <v>320</v>
      </c>
      <c r="R225" s="2">
        <v>2</v>
      </c>
    </row>
    <row r="226" spans="2:21" x14ac:dyDescent="0.35">
      <c r="B226" s="5">
        <f t="shared" si="32"/>
        <v>6220</v>
      </c>
      <c r="C226" s="5">
        <v>6350</v>
      </c>
      <c r="D226" s="5">
        <f t="shared" si="30"/>
        <v>130</v>
      </c>
      <c r="E226" s="5">
        <f t="shared" si="33"/>
        <v>130</v>
      </c>
      <c r="J226" s="5">
        <f t="shared" ref="J226:J228" si="34">D226</f>
        <v>130</v>
      </c>
      <c r="L226" s="5">
        <f t="shared" si="31"/>
        <v>130</v>
      </c>
      <c r="S226" s="2">
        <v>1</v>
      </c>
    </row>
    <row r="227" spans="2:21" x14ac:dyDescent="0.35">
      <c r="B227" s="5">
        <f t="shared" si="32"/>
        <v>6350</v>
      </c>
      <c r="C227" s="5">
        <v>6430</v>
      </c>
      <c r="D227" s="5">
        <f t="shared" si="30"/>
        <v>80</v>
      </c>
      <c r="E227" s="5">
        <f t="shared" si="33"/>
        <v>80</v>
      </c>
      <c r="J227" s="5">
        <f t="shared" si="34"/>
        <v>80</v>
      </c>
      <c r="L227" s="5">
        <f t="shared" si="31"/>
        <v>80</v>
      </c>
      <c r="O227" s="2">
        <v>12</v>
      </c>
    </row>
    <row r="228" spans="2:21" x14ac:dyDescent="0.35">
      <c r="B228" s="5">
        <f t="shared" si="32"/>
        <v>6430</v>
      </c>
      <c r="C228" s="5">
        <v>6630</v>
      </c>
      <c r="D228" s="5">
        <f t="shared" si="30"/>
        <v>200</v>
      </c>
      <c r="E228" s="5">
        <f t="shared" si="33"/>
        <v>200</v>
      </c>
      <c r="J228" s="5">
        <f t="shared" si="34"/>
        <v>200</v>
      </c>
      <c r="L228" s="5">
        <f t="shared" si="31"/>
        <v>200</v>
      </c>
    </row>
    <row r="229" spans="2:21" x14ac:dyDescent="0.35">
      <c r="B229" s="5">
        <f t="shared" si="32"/>
        <v>6630</v>
      </c>
      <c r="C229" s="5">
        <v>7650</v>
      </c>
      <c r="D229" s="5">
        <f t="shared" si="30"/>
        <v>1020</v>
      </c>
      <c r="E229" s="5">
        <f t="shared" si="33"/>
        <v>1020</v>
      </c>
      <c r="J229" s="5">
        <f>D229</f>
        <v>1020</v>
      </c>
      <c r="L229" s="5">
        <f t="shared" si="31"/>
        <v>1020</v>
      </c>
      <c r="R229" s="2">
        <v>4</v>
      </c>
      <c r="S229" s="2">
        <v>1</v>
      </c>
    </row>
    <row r="230" spans="2:21" x14ac:dyDescent="0.35">
      <c r="B230" s="5">
        <f t="shared" si="32"/>
        <v>7650</v>
      </c>
      <c r="C230" s="5">
        <v>7720</v>
      </c>
      <c r="D230" s="5">
        <f t="shared" si="30"/>
        <v>70</v>
      </c>
      <c r="G230" s="5">
        <f>D230</f>
        <v>70</v>
      </c>
      <c r="L230" s="5">
        <f t="shared" si="31"/>
        <v>70</v>
      </c>
    </row>
    <row r="231" spans="2:21" x14ac:dyDescent="0.35">
      <c r="B231" s="5">
        <f t="shared" si="32"/>
        <v>7720</v>
      </c>
      <c r="C231" s="5">
        <v>7790</v>
      </c>
      <c r="D231" s="5">
        <f t="shared" si="30"/>
        <v>70</v>
      </c>
      <c r="L231" s="5">
        <f t="shared" si="31"/>
        <v>70</v>
      </c>
      <c r="P231" s="2">
        <v>70</v>
      </c>
    </row>
    <row r="232" spans="2:21" x14ac:dyDescent="0.35">
      <c r="B232" s="5">
        <f t="shared" si="32"/>
        <v>7790</v>
      </c>
      <c r="C232" s="5">
        <v>7930</v>
      </c>
      <c r="D232" s="5">
        <f t="shared" si="30"/>
        <v>140</v>
      </c>
      <c r="F232" s="5">
        <f>D232</f>
        <v>140</v>
      </c>
      <c r="J232" s="2">
        <f>D232*2.5*0.5</f>
        <v>175</v>
      </c>
      <c r="L232" s="5">
        <f t="shared" si="31"/>
        <v>140</v>
      </c>
    </row>
    <row r="233" spans="2:21" x14ac:dyDescent="0.35">
      <c r="B233" s="5">
        <f t="shared" si="32"/>
        <v>7930</v>
      </c>
      <c r="C233" s="5">
        <v>8130</v>
      </c>
      <c r="D233" s="5">
        <f t="shared" si="30"/>
        <v>200</v>
      </c>
      <c r="F233" s="5">
        <f>D233</f>
        <v>200</v>
      </c>
      <c r="J233" s="2">
        <f>D233*2.5*0.5</f>
        <v>250</v>
      </c>
      <c r="L233" s="5">
        <f t="shared" si="31"/>
        <v>200</v>
      </c>
    </row>
    <row r="234" spans="2:21" x14ac:dyDescent="0.35">
      <c r="B234" s="5">
        <f t="shared" si="32"/>
        <v>8130</v>
      </c>
      <c r="C234" s="5">
        <v>8300</v>
      </c>
      <c r="D234" s="5">
        <f t="shared" si="30"/>
        <v>170</v>
      </c>
      <c r="G234" s="5">
        <f>D234</f>
        <v>170</v>
      </c>
      <c r="L234" s="5">
        <f t="shared" si="31"/>
        <v>170</v>
      </c>
    </row>
    <row r="235" spans="2:21" x14ac:dyDescent="0.35">
      <c r="B235" s="5">
        <f t="shared" si="32"/>
        <v>8300</v>
      </c>
      <c r="C235" s="5">
        <v>8600</v>
      </c>
      <c r="D235" s="5">
        <f t="shared" si="30"/>
        <v>300</v>
      </c>
      <c r="E235" s="5">
        <f>D235</f>
        <v>300</v>
      </c>
      <c r="L235" s="5">
        <f t="shared" si="31"/>
        <v>300</v>
      </c>
      <c r="R235" s="2">
        <v>2</v>
      </c>
    </row>
    <row r="236" spans="2:21" x14ac:dyDescent="0.35">
      <c r="B236" s="5">
        <f t="shared" si="32"/>
        <v>8600</v>
      </c>
      <c r="C236" s="5">
        <v>8630</v>
      </c>
      <c r="D236" s="5">
        <f t="shared" si="30"/>
        <v>30</v>
      </c>
      <c r="L236" s="5">
        <f t="shared" si="31"/>
        <v>30</v>
      </c>
      <c r="O236" s="5">
        <f>D236</f>
        <v>30</v>
      </c>
      <c r="U236" s="1" t="s">
        <v>998</v>
      </c>
    </row>
    <row r="237" spans="2:21" x14ac:dyDescent="0.35">
      <c r="B237" s="5">
        <f t="shared" si="32"/>
        <v>8630</v>
      </c>
      <c r="C237" s="5">
        <v>8710</v>
      </c>
      <c r="D237" s="5">
        <f t="shared" si="30"/>
        <v>80</v>
      </c>
      <c r="L237" s="5">
        <f t="shared" si="31"/>
        <v>80</v>
      </c>
      <c r="P237" s="5">
        <f>D237</f>
        <v>80</v>
      </c>
      <c r="U237" s="1" t="s">
        <v>999</v>
      </c>
    </row>
    <row r="238" spans="2:21" x14ac:dyDescent="0.35">
      <c r="B238" s="5">
        <f t="shared" si="32"/>
        <v>8710</v>
      </c>
      <c r="C238" s="5">
        <v>9200</v>
      </c>
      <c r="D238" s="5">
        <f t="shared" si="30"/>
        <v>490</v>
      </c>
      <c r="E238" s="5">
        <f>D238</f>
        <v>490</v>
      </c>
      <c r="L238" s="5">
        <f t="shared" si="31"/>
        <v>490</v>
      </c>
      <c r="R238" s="2">
        <v>2</v>
      </c>
    </row>
    <row r="239" spans="2:21" x14ac:dyDescent="0.35">
      <c r="B239" s="5">
        <f t="shared" si="32"/>
        <v>9200</v>
      </c>
      <c r="C239" s="5">
        <v>10000</v>
      </c>
      <c r="D239" s="5">
        <f t="shared" si="30"/>
        <v>800</v>
      </c>
      <c r="F239" s="5">
        <f>D239</f>
        <v>800</v>
      </c>
      <c r="L239" s="5">
        <f t="shared" si="31"/>
        <v>800</v>
      </c>
    </row>
    <row r="240" spans="2:21" x14ac:dyDescent="0.35">
      <c r="B240" s="5">
        <f t="shared" si="32"/>
        <v>10000</v>
      </c>
      <c r="C240" s="5">
        <v>10860</v>
      </c>
      <c r="D240" s="5">
        <f t="shared" si="30"/>
        <v>860</v>
      </c>
      <c r="E240" s="5">
        <f>D240</f>
        <v>860</v>
      </c>
      <c r="L240" s="5">
        <f t="shared" si="31"/>
        <v>860</v>
      </c>
      <c r="R240" s="2">
        <v>2</v>
      </c>
    </row>
    <row r="241" spans="2:21" x14ac:dyDescent="0.35">
      <c r="B241" s="5">
        <f t="shared" si="32"/>
        <v>10860</v>
      </c>
      <c r="C241" s="5">
        <v>11100</v>
      </c>
      <c r="D241" s="5">
        <f t="shared" si="30"/>
        <v>240</v>
      </c>
      <c r="F241" s="5">
        <f>D241</f>
        <v>240</v>
      </c>
      <c r="J241" s="2">
        <f>D241*5</f>
        <v>1200</v>
      </c>
      <c r="L241" s="5">
        <f t="shared" si="31"/>
        <v>240</v>
      </c>
    </row>
    <row r="242" spans="2:21" x14ac:dyDescent="0.35">
      <c r="B242" s="5">
        <f t="shared" si="32"/>
        <v>11100</v>
      </c>
      <c r="C242" s="5">
        <v>11800</v>
      </c>
      <c r="D242" s="5">
        <f t="shared" si="30"/>
        <v>700</v>
      </c>
      <c r="E242" s="5">
        <f>D242</f>
        <v>700</v>
      </c>
      <c r="L242" s="5">
        <f t="shared" si="31"/>
        <v>700</v>
      </c>
      <c r="O242" s="2">
        <v>34</v>
      </c>
    </row>
    <row r="243" spans="2:21" x14ac:dyDescent="0.35">
      <c r="B243" s="5">
        <f t="shared" si="32"/>
        <v>11800</v>
      </c>
      <c r="C243" s="5">
        <v>12200</v>
      </c>
      <c r="D243" s="5">
        <f t="shared" si="30"/>
        <v>400</v>
      </c>
      <c r="F243" s="5">
        <f>D243</f>
        <v>400</v>
      </c>
      <c r="L243" s="5">
        <f t="shared" si="31"/>
        <v>400</v>
      </c>
      <c r="T243" s="2">
        <v>1</v>
      </c>
    </row>
    <row r="244" spans="2:21" x14ac:dyDescent="0.35">
      <c r="B244" s="5">
        <f t="shared" si="32"/>
        <v>12200</v>
      </c>
      <c r="C244" s="5">
        <v>12300</v>
      </c>
      <c r="D244" s="5">
        <f t="shared" si="30"/>
        <v>100</v>
      </c>
      <c r="L244" s="5">
        <f t="shared" si="31"/>
        <v>100</v>
      </c>
      <c r="P244" s="2">
        <v>100</v>
      </c>
    </row>
    <row r="245" spans="2:21" x14ac:dyDescent="0.35">
      <c r="B245" s="5">
        <f t="shared" si="32"/>
        <v>12300</v>
      </c>
      <c r="C245" s="5">
        <v>12500</v>
      </c>
      <c r="D245" s="5">
        <f t="shared" si="30"/>
        <v>200</v>
      </c>
      <c r="F245" s="5">
        <f>D245</f>
        <v>200</v>
      </c>
      <c r="L245" s="5">
        <f t="shared" si="31"/>
        <v>200</v>
      </c>
    </row>
    <row r="246" spans="2:21" x14ac:dyDescent="0.35">
      <c r="B246" s="5">
        <f t="shared" si="32"/>
        <v>12500</v>
      </c>
      <c r="C246" s="5">
        <v>13000</v>
      </c>
      <c r="D246" s="5">
        <f t="shared" si="30"/>
        <v>500</v>
      </c>
      <c r="F246" s="5">
        <f>D246</f>
        <v>500</v>
      </c>
      <c r="J246" s="5">
        <f>D246+50</f>
        <v>550</v>
      </c>
      <c r="L246" s="5">
        <f t="shared" si="31"/>
        <v>500</v>
      </c>
    </row>
    <row r="247" spans="2:21" x14ac:dyDescent="0.35">
      <c r="B247" s="5">
        <f t="shared" si="32"/>
        <v>13000</v>
      </c>
      <c r="C247" s="5">
        <v>13250</v>
      </c>
      <c r="D247" s="5">
        <f t="shared" si="30"/>
        <v>250</v>
      </c>
      <c r="E247" s="5">
        <f>D247</f>
        <v>250</v>
      </c>
      <c r="L247" s="5">
        <f t="shared" si="31"/>
        <v>250</v>
      </c>
    </row>
    <row r="248" spans="2:21" x14ac:dyDescent="0.35">
      <c r="B248" s="5">
        <f t="shared" si="32"/>
        <v>13250</v>
      </c>
      <c r="C248" s="5">
        <v>13320</v>
      </c>
      <c r="D248" s="5">
        <f t="shared" si="30"/>
        <v>70</v>
      </c>
      <c r="G248" s="5">
        <f>D248</f>
        <v>70</v>
      </c>
      <c r="L248" s="5">
        <f t="shared" si="31"/>
        <v>70</v>
      </c>
    </row>
    <row r="249" spans="2:21" x14ac:dyDescent="0.35">
      <c r="B249" s="5">
        <f t="shared" si="32"/>
        <v>13320</v>
      </c>
      <c r="C249" s="5">
        <f>C248+2400</f>
        <v>15720</v>
      </c>
      <c r="D249" s="5">
        <f t="shared" si="30"/>
        <v>2400</v>
      </c>
      <c r="F249" s="5">
        <f>D249</f>
        <v>2400</v>
      </c>
      <c r="L249" s="5">
        <v>600</v>
      </c>
      <c r="M249" s="5">
        <f>D249-600</f>
        <v>1800</v>
      </c>
      <c r="S249" s="2">
        <v>2</v>
      </c>
      <c r="U249" s="1" t="s">
        <v>1000</v>
      </c>
    </row>
    <row r="250" spans="2:21" x14ac:dyDescent="0.35">
      <c r="B250" s="5">
        <f t="shared" si="32"/>
        <v>15720</v>
      </c>
      <c r="C250" s="5">
        <f>C248+5400</f>
        <v>18720</v>
      </c>
      <c r="D250" s="5">
        <f t="shared" si="30"/>
        <v>3000</v>
      </c>
      <c r="G250" s="5">
        <f>D250</f>
        <v>3000</v>
      </c>
      <c r="L250" s="5">
        <v>0</v>
      </c>
      <c r="M250" s="5">
        <f t="shared" ref="M250" si="35">D250</f>
        <v>3000</v>
      </c>
      <c r="O250" s="2">
        <f>40+8+10</f>
        <v>58</v>
      </c>
      <c r="U250" s="1" t="s">
        <v>1001</v>
      </c>
    </row>
    <row r="251" spans="2:21" x14ac:dyDescent="0.35">
      <c r="B251" s="106">
        <v>17700</v>
      </c>
      <c r="C251" s="5">
        <v>18530</v>
      </c>
      <c r="D251" s="5">
        <f t="shared" si="30"/>
        <v>830</v>
      </c>
      <c r="F251" s="5">
        <f>D251</f>
        <v>830</v>
      </c>
      <c r="L251" s="5">
        <f>D251</f>
        <v>830</v>
      </c>
      <c r="M251" s="5" t="s">
        <v>68</v>
      </c>
      <c r="N251" s="2">
        <v>20</v>
      </c>
      <c r="O251" s="2">
        <v>8</v>
      </c>
    </row>
    <row r="252" spans="2:21" x14ac:dyDescent="0.35">
      <c r="B252" s="5">
        <f>C251</f>
        <v>18530</v>
      </c>
      <c r="C252" s="5">
        <v>18800</v>
      </c>
      <c r="D252" s="5">
        <f t="shared" si="30"/>
        <v>270</v>
      </c>
      <c r="F252" s="5">
        <f>D252</f>
        <v>270</v>
      </c>
      <c r="L252" s="5">
        <f>D252</f>
        <v>270</v>
      </c>
      <c r="M252" s="5" t="s">
        <v>68</v>
      </c>
    </row>
    <row r="253" spans="2:21" x14ac:dyDescent="0.35">
      <c r="B253" s="5">
        <f t="shared" ref="B253:B271" si="36">C252</f>
        <v>18800</v>
      </c>
      <c r="C253" s="5">
        <v>19200</v>
      </c>
      <c r="D253" s="5">
        <f t="shared" si="30"/>
        <v>400</v>
      </c>
      <c r="G253" s="5">
        <f>D253</f>
        <v>400</v>
      </c>
      <c r="L253" s="5">
        <f t="shared" ref="L253:L257" si="37">D253</f>
        <v>400</v>
      </c>
      <c r="M253" s="5" t="s">
        <v>68</v>
      </c>
    </row>
    <row r="254" spans="2:21" x14ac:dyDescent="0.35">
      <c r="B254" s="5">
        <f t="shared" si="36"/>
        <v>19200</v>
      </c>
      <c r="C254" s="5">
        <v>19500</v>
      </c>
      <c r="D254" s="5">
        <f t="shared" si="30"/>
        <v>300</v>
      </c>
      <c r="F254" s="5">
        <f>D254</f>
        <v>300</v>
      </c>
      <c r="L254" s="5">
        <f t="shared" si="37"/>
        <v>300</v>
      </c>
      <c r="M254" s="5" t="s">
        <v>68</v>
      </c>
    </row>
    <row r="255" spans="2:21" x14ac:dyDescent="0.35">
      <c r="B255" s="5">
        <f t="shared" si="36"/>
        <v>19500</v>
      </c>
      <c r="C255" s="5">
        <v>19640</v>
      </c>
      <c r="D255" s="5">
        <f t="shared" si="30"/>
        <v>140</v>
      </c>
      <c r="F255" s="5">
        <f>D255</f>
        <v>140</v>
      </c>
      <c r="L255" s="5">
        <f t="shared" si="37"/>
        <v>140</v>
      </c>
      <c r="M255" s="5" t="s">
        <v>68</v>
      </c>
    </row>
    <row r="256" spans="2:21" x14ac:dyDescent="0.35">
      <c r="B256" s="5">
        <f t="shared" si="36"/>
        <v>19640</v>
      </c>
      <c r="C256" s="5">
        <v>19870</v>
      </c>
      <c r="D256" s="5">
        <f t="shared" si="30"/>
        <v>230</v>
      </c>
      <c r="G256" s="5">
        <f>D256</f>
        <v>230</v>
      </c>
      <c r="L256" s="5">
        <f t="shared" si="37"/>
        <v>230</v>
      </c>
    </row>
    <row r="257" spans="2:21" x14ac:dyDescent="0.35">
      <c r="B257" s="5">
        <f t="shared" si="36"/>
        <v>19870</v>
      </c>
      <c r="C257" s="5">
        <v>20050</v>
      </c>
      <c r="D257" s="5">
        <f t="shared" si="30"/>
        <v>180</v>
      </c>
      <c r="F257" s="5">
        <f>D257</f>
        <v>180</v>
      </c>
      <c r="J257" s="2">
        <f>3*D257</f>
        <v>540</v>
      </c>
      <c r="L257" s="5">
        <f t="shared" si="37"/>
        <v>180</v>
      </c>
    </row>
    <row r="258" spans="2:21" x14ac:dyDescent="0.35">
      <c r="B258" s="5">
        <f t="shared" si="36"/>
        <v>20050</v>
      </c>
      <c r="C258" s="5">
        <v>21100</v>
      </c>
      <c r="D258" s="5">
        <f t="shared" si="30"/>
        <v>1050</v>
      </c>
      <c r="E258" s="5">
        <f>D258</f>
        <v>1050</v>
      </c>
      <c r="M258" s="5">
        <f>D258</f>
        <v>1050</v>
      </c>
      <c r="O258" s="2">
        <v>8</v>
      </c>
      <c r="U258" s="1" t="s">
        <v>1002</v>
      </c>
    </row>
    <row r="259" spans="2:21" x14ac:dyDescent="0.35">
      <c r="B259" s="5">
        <f t="shared" si="36"/>
        <v>21100</v>
      </c>
      <c r="C259" s="5">
        <v>21600</v>
      </c>
      <c r="D259" s="5">
        <f t="shared" si="30"/>
        <v>500</v>
      </c>
      <c r="F259" s="5">
        <f>D259</f>
        <v>500</v>
      </c>
      <c r="J259" s="2">
        <f>5*D259</f>
        <v>2500</v>
      </c>
      <c r="M259" s="5">
        <f t="shared" ref="M259:M266" si="38">D259</f>
        <v>500</v>
      </c>
      <c r="N259" s="5">
        <f>D259</f>
        <v>500</v>
      </c>
      <c r="U259" s="1" t="s">
        <v>1003</v>
      </c>
    </row>
    <row r="260" spans="2:21" x14ac:dyDescent="0.35">
      <c r="B260" s="5">
        <f t="shared" si="36"/>
        <v>21600</v>
      </c>
      <c r="C260" s="5">
        <v>21800</v>
      </c>
      <c r="D260" s="5">
        <f t="shared" si="30"/>
        <v>200</v>
      </c>
      <c r="E260" s="5">
        <f>D260</f>
        <v>200</v>
      </c>
      <c r="M260" s="5">
        <f t="shared" si="38"/>
        <v>200</v>
      </c>
    </row>
    <row r="261" spans="2:21" x14ac:dyDescent="0.35">
      <c r="B261" s="5">
        <f t="shared" si="36"/>
        <v>21800</v>
      </c>
      <c r="C261" s="5">
        <v>21900</v>
      </c>
      <c r="D261" s="5">
        <f t="shared" si="30"/>
        <v>100</v>
      </c>
      <c r="F261" s="5">
        <f>D261</f>
        <v>100</v>
      </c>
      <c r="J261" s="2">
        <f>5*D261</f>
        <v>500</v>
      </c>
      <c r="M261" s="5">
        <f t="shared" si="38"/>
        <v>100</v>
      </c>
      <c r="N261" s="5">
        <f>D261</f>
        <v>100</v>
      </c>
    </row>
    <row r="262" spans="2:21" x14ac:dyDescent="0.35">
      <c r="B262" s="5">
        <f t="shared" si="36"/>
        <v>21900</v>
      </c>
      <c r="C262" s="5">
        <v>22120</v>
      </c>
      <c r="D262" s="5">
        <f t="shared" si="30"/>
        <v>220</v>
      </c>
      <c r="E262" s="5">
        <f>D262</f>
        <v>220</v>
      </c>
      <c r="M262" s="5">
        <f t="shared" si="38"/>
        <v>220</v>
      </c>
    </row>
    <row r="263" spans="2:21" x14ac:dyDescent="0.35">
      <c r="B263" s="5">
        <f t="shared" si="36"/>
        <v>22120</v>
      </c>
      <c r="C263" s="5">
        <v>22270</v>
      </c>
      <c r="D263" s="5">
        <f t="shared" si="30"/>
        <v>150</v>
      </c>
      <c r="F263" s="5">
        <f>D263</f>
        <v>150</v>
      </c>
      <c r="J263" s="2">
        <f>D263*5</f>
        <v>750</v>
      </c>
      <c r="M263" s="5">
        <f t="shared" si="38"/>
        <v>150</v>
      </c>
      <c r="N263" s="5">
        <f>D263</f>
        <v>150</v>
      </c>
    </row>
    <row r="264" spans="2:21" x14ac:dyDescent="0.35">
      <c r="B264" s="5">
        <f t="shared" si="36"/>
        <v>22270</v>
      </c>
      <c r="C264" s="5">
        <v>22530</v>
      </c>
      <c r="D264" s="5">
        <f t="shared" si="30"/>
        <v>260</v>
      </c>
      <c r="E264" s="5">
        <f>D264</f>
        <v>260</v>
      </c>
      <c r="J264" s="5">
        <f>D264</f>
        <v>260</v>
      </c>
      <c r="M264" s="5">
        <f t="shared" si="38"/>
        <v>260</v>
      </c>
    </row>
    <row r="265" spans="2:21" x14ac:dyDescent="0.35">
      <c r="B265" s="5">
        <f t="shared" si="36"/>
        <v>22530</v>
      </c>
      <c r="C265" s="5">
        <v>22800</v>
      </c>
      <c r="D265" s="5">
        <f t="shared" si="30"/>
        <v>270</v>
      </c>
      <c r="E265" s="5">
        <f>D265</f>
        <v>270</v>
      </c>
      <c r="J265" s="5">
        <f t="shared" ref="J265:J266" si="39">D265</f>
        <v>270</v>
      </c>
      <c r="M265" s="5">
        <f t="shared" si="38"/>
        <v>270</v>
      </c>
    </row>
    <row r="266" spans="2:21" x14ac:dyDescent="0.35">
      <c r="B266" s="5">
        <f t="shared" si="36"/>
        <v>22800</v>
      </c>
      <c r="C266" s="5">
        <v>23300</v>
      </c>
      <c r="D266" s="5">
        <f t="shared" si="30"/>
        <v>500</v>
      </c>
      <c r="E266" s="5">
        <f>D266</f>
        <v>500</v>
      </c>
      <c r="J266" s="5">
        <f t="shared" si="39"/>
        <v>500</v>
      </c>
      <c r="M266" s="5">
        <f t="shared" si="38"/>
        <v>500</v>
      </c>
    </row>
    <row r="267" spans="2:21" x14ac:dyDescent="0.35">
      <c r="B267" s="5">
        <f t="shared" si="36"/>
        <v>23300</v>
      </c>
      <c r="C267" s="5">
        <v>24200</v>
      </c>
      <c r="D267" s="5">
        <f t="shared" si="30"/>
        <v>900</v>
      </c>
      <c r="G267" s="5">
        <f>D267</f>
        <v>900</v>
      </c>
      <c r="L267" s="5">
        <f>D267</f>
        <v>900</v>
      </c>
    </row>
    <row r="268" spans="2:21" x14ac:dyDescent="0.35">
      <c r="B268" s="5">
        <f t="shared" si="36"/>
        <v>24200</v>
      </c>
      <c r="C268" s="5">
        <v>25850</v>
      </c>
      <c r="D268" s="5">
        <f t="shared" si="30"/>
        <v>1650</v>
      </c>
      <c r="F268" s="5">
        <f>D268</f>
        <v>1650</v>
      </c>
      <c r="L268" s="5">
        <f t="shared" ref="L268:L271" si="40">D268</f>
        <v>1650</v>
      </c>
      <c r="O268" s="2">
        <v>42</v>
      </c>
      <c r="R268" s="2">
        <v>3</v>
      </c>
      <c r="U268" s="1" t="s">
        <v>1004</v>
      </c>
    </row>
    <row r="269" spans="2:21" x14ac:dyDescent="0.35">
      <c r="B269" s="5">
        <f t="shared" si="36"/>
        <v>25850</v>
      </c>
      <c r="C269" s="5">
        <v>27870</v>
      </c>
      <c r="D269" s="5">
        <f t="shared" si="30"/>
        <v>2020</v>
      </c>
      <c r="E269" s="5">
        <f>D269</f>
        <v>2020</v>
      </c>
      <c r="L269" s="5">
        <f t="shared" si="40"/>
        <v>2020</v>
      </c>
      <c r="R269" s="2">
        <v>5</v>
      </c>
    </row>
    <row r="270" spans="2:21" x14ac:dyDescent="0.35">
      <c r="B270" s="5">
        <f t="shared" si="36"/>
        <v>27870</v>
      </c>
      <c r="C270" s="5">
        <v>28300</v>
      </c>
      <c r="D270" s="5">
        <f t="shared" si="30"/>
        <v>430</v>
      </c>
      <c r="F270" s="5">
        <f>D270</f>
        <v>430</v>
      </c>
      <c r="L270" s="5">
        <f t="shared" si="40"/>
        <v>430</v>
      </c>
      <c r="O270" s="2">
        <v>80</v>
      </c>
      <c r="U270" s="1" t="s">
        <v>1005</v>
      </c>
    </row>
    <row r="271" spans="2:21" x14ac:dyDescent="0.35">
      <c r="B271" s="5">
        <f t="shared" si="36"/>
        <v>28300</v>
      </c>
      <c r="C271" s="5">
        <v>29700</v>
      </c>
      <c r="D271" s="5">
        <f t="shared" si="30"/>
        <v>1400</v>
      </c>
      <c r="E271" s="5">
        <f>D271</f>
        <v>1400</v>
      </c>
      <c r="L271" s="5">
        <f t="shared" si="40"/>
        <v>1400</v>
      </c>
      <c r="R271" s="2">
        <v>3</v>
      </c>
    </row>
    <row r="272" spans="2:21" x14ac:dyDescent="0.35">
      <c r="B272" s="239" t="s">
        <v>849</v>
      </c>
      <c r="C272" s="239"/>
      <c r="D272" s="5">
        <f>SUM(D214:D271)</f>
        <v>30720</v>
      </c>
      <c r="E272" s="5">
        <f>SUM(E214:E271)</f>
        <v>11320</v>
      </c>
      <c r="F272" s="5">
        <f t="shared" ref="F272:G272" si="41">SUM(F214:F271)</f>
        <v>13930</v>
      </c>
      <c r="G272" s="5">
        <f t="shared" si="41"/>
        <v>5190</v>
      </c>
      <c r="H272" s="5">
        <f>SUM(H251:H271)</f>
        <v>0</v>
      </c>
      <c r="I272" s="5">
        <f t="shared" ref="I272" si="42">SUM(I270:I271)</f>
        <v>0</v>
      </c>
      <c r="J272" s="5">
        <f>SUM(J214:J271)</f>
        <v>11012.5</v>
      </c>
      <c r="K272" s="5">
        <f t="shared" ref="K272" si="43">SUM(K270:K271)</f>
        <v>0</v>
      </c>
      <c r="L272" s="5">
        <f>SUM(L214:L271)</f>
        <v>22670</v>
      </c>
      <c r="M272" s="5">
        <f>SUM(M214:M271)</f>
        <v>8050</v>
      </c>
      <c r="N272" s="5">
        <f>SUM(N215:N271)</f>
        <v>770</v>
      </c>
      <c r="O272" s="5">
        <f t="shared" ref="O272:T272" si="44">SUM(O215:O271)</f>
        <v>324</v>
      </c>
      <c r="P272" s="5">
        <f t="shared" si="44"/>
        <v>250</v>
      </c>
      <c r="Q272" s="5">
        <f t="shared" si="44"/>
        <v>0</v>
      </c>
      <c r="R272" s="5">
        <f t="shared" si="44"/>
        <v>34</v>
      </c>
      <c r="S272" s="5">
        <f t="shared" si="44"/>
        <v>5</v>
      </c>
      <c r="T272" s="5">
        <f t="shared" si="44"/>
        <v>1</v>
      </c>
    </row>
    <row r="273" spans="2:20" x14ac:dyDescent="0.35">
      <c r="B273" s="239" t="s">
        <v>851</v>
      </c>
      <c r="C273" s="239"/>
      <c r="D273" s="2"/>
      <c r="E273" s="95">
        <f>Rates!C6*E272</f>
        <v>377333.33333333337</v>
      </c>
      <c r="F273" s="95">
        <f>Rates!C7*F272</f>
        <v>995000</v>
      </c>
      <c r="G273" s="95">
        <f>Rates!C8*G272</f>
        <v>1297500</v>
      </c>
      <c r="H273" s="95">
        <f>H272*Rates!C77</f>
        <v>0</v>
      </c>
      <c r="I273" s="2"/>
      <c r="J273" s="95">
        <f>Rates!C13*J272</f>
        <v>385437.5</v>
      </c>
      <c r="L273" s="95">
        <f>L272*Rates!$C$20</f>
        <v>1360200</v>
      </c>
      <c r="M273" s="95">
        <f>M272*Rates!$C$26</f>
        <v>869400</v>
      </c>
      <c r="N273" s="95">
        <f>Rates!C36*N272</f>
        <v>346500</v>
      </c>
      <c r="O273" s="95">
        <f>O272*Rates!$C$34</f>
        <v>2170800</v>
      </c>
      <c r="P273" s="95">
        <f>Rates!C35*P272</f>
        <v>437500</v>
      </c>
      <c r="Q273" s="95">
        <f>6*3*Rates!C300</f>
        <v>0</v>
      </c>
      <c r="R273" s="95">
        <f>R272*Rates!$C$50</f>
        <v>76500</v>
      </c>
      <c r="S273" s="95">
        <f>S272*Rates!C51</f>
        <v>17500</v>
      </c>
      <c r="T273" s="95">
        <f>T272*Rates!C52</f>
        <v>5500</v>
      </c>
    </row>
    <row r="274" spans="2:20" x14ac:dyDescent="0.35">
      <c r="B274" s="240" t="s">
        <v>852</v>
      </c>
      <c r="C274" s="241"/>
      <c r="D274" s="146"/>
      <c r="E274" s="149"/>
      <c r="F274" s="146"/>
      <c r="G274" s="146"/>
      <c r="H274" s="146"/>
      <c r="I274" s="146"/>
      <c r="J274" s="146"/>
      <c r="K274" s="146"/>
      <c r="L274" s="149"/>
      <c r="M274" s="147">
        <f>SUM(E273:M273)</f>
        <v>5284870.833333334</v>
      </c>
      <c r="Q274" s="95"/>
    </row>
    <row r="275" spans="2:20" x14ac:dyDescent="0.35">
      <c r="B275" s="237" t="s">
        <v>284</v>
      </c>
      <c r="C275" s="238"/>
      <c r="D275" s="86"/>
      <c r="E275" s="148"/>
      <c r="F275" s="86"/>
      <c r="G275" s="86"/>
      <c r="H275" s="86"/>
      <c r="I275" s="86"/>
      <c r="J275" s="86"/>
      <c r="K275" s="86"/>
      <c r="L275" s="148"/>
      <c r="M275" s="86"/>
      <c r="N275" s="86"/>
      <c r="O275" s="86"/>
      <c r="P275" s="86"/>
      <c r="Q275" s="148"/>
      <c r="R275" s="86"/>
      <c r="S275" s="86"/>
      <c r="T275" s="150">
        <f>SUM(N273:T273)</f>
        <v>3054300</v>
      </c>
    </row>
  </sheetData>
  <sheetProtection algorithmName="SHA-512" hashValue="XACZ4Ap4caqtazPXRk9P3UydFTOM3eIvoIlWRn0V6nE3CWuU7NTSTfs7yooPRp+5ncVd6Wt5li3itRqdG0MqhQ==" saltValue="iiLa019e51vp6mHldfzU3Q==" spinCount="100000" sheet="1" objects="1" scenarios="1"/>
  <mergeCells count="14">
    <mergeCell ref="E3:I3"/>
    <mergeCell ref="R3:T3"/>
    <mergeCell ref="E182:I182"/>
    <mergeCell ref="R182:T182"/>
    <mergeCell ref="E212:I212"/>
    <mergeCell ref="R212:T212"/>
    <mergeCell ref="B273:C273"/>
    <mergeCell ref="B274:C274"/>
    <mergeCell ref="B275:C275"/>
    <mergeCell ref="B205:C205"/>
    <mergeCell ref="B206:C206"/>
    <mergeCell ref="B207:C207"/>
    <mergeCell ref="B208:C208"/>
    <mergeCell ref="B272:C27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EE5F0-B7A4-49FD-9999-E713139C2BFB}">
  <dimension ref="A1:H257"/>
  <sheetViews>
    <sheetView workbookViewId="0">
      <selection activeCell="E7" sqref="E7"/>
    </sheetView>
  </sheetViews>
  <sheetFormatPr defaultRowHeight="14.5" x14ac:dyDescent="0.35"/>
  <cols>
    <col min="3" max="3" width="47" style="11" customWidth="1"/>
    <col min="4" max="4" width="14.26953125" bestFit="1" customWidth="1"/>
    <col min="5" max="5" width="60.453125" bestFit="1" customWidth="1"/>
  </cols>
  <sheetData>
    <row r="1" spans="3:8" x14ac:dyDescent="0.35">
      <c r="C1" s="10" t="s">
        <v>1006</v>
      </c>
    </row>
    <row r="3" spans="3:8" x14ac:dyDescent="0.35">
      <c r="C3" s="10" t="s">
        <v>531</v>
      </c>
    </row>
    <row r="4" spans="3:8" x14ac:dyDescent="0.35">
      <c r="C4" s="11" t="s">
        <v>774</v>
      </c>
      <c r="D4" s="78">
        <f>2500</f>
        <v>2500</v>
      </c>
      <c r="E4" t="s">
        <v>775</v>
      </c>
    </row>
    <row r="5" spans="3:8" x14ac:dyDescent="0.35">
      <c r="C5" s="11" t="s">
        <v>776</v>
      </c>
      <c r="D5" s="78">
        <v>5000</v>
      </c>
      <c r="E5" t="s">
        <v>777</v>
      </c>
    </row>
    <row r="6" spans="3:8" x14ac:dyDescent="0.35">
      <c r="C6" s="11" t="s">
        <v>778</v>
      </c>
      <c r="E6" t="s">
        <v>1007</v>
      </c>
    </row>
    <row r="7" spans="3:8" x14ac:dyDescent="0.35">
      <c r="C7" s="11" t="s">
        <v>780</v>
      </c>
      <c r="D7" s="78">
        <f>2500+3600</f>
        <v>6100</v>
      </c>
      <c r="E7" t="s">
        <v>781</v>
      </c>
    </row>
    <row r="9" spans="3:8" x14ac:dyDescent="0.35">
      <c r="C9" s="10" t="s">
        <v>1008</v>
      </c>
    </row>
    <row r="10" spans="3:8" x14ac:dyDescent="0.35">
      <c r="C10" s="11" t="s">
        <v>780</v>
      </c>
      <c r="D10" s="78">
        <f>(2500+3600)*5</f>
        <v>30500</v>
      </c>
      <c r="E10" t="s">
        <v>1009</v>
      </c>
      <c r="H10">
        <f>10*75*3*9</f>
        <v>20250</v>
      </c>
    </row>
    <row r="11" spans="3:8" x14ac:dyDescent="0.35">
      <c r="C11" s="11" t="s">
        <v>1010</v>
      </c>
      <c r="D11" s="112">
        <f>7*30*150</f>
        <v>31500</v>
      </c>
      <c r="E11" t="s">
        <v>1011</v>
      </c>
    </row>
    <row r="12" spans="3:8" x14ac:dyDescent="0.35">
      <c r="C12" s="11" t="s">
        <v>1012</v>
      </c>
      <c r="D12" s="112">
        <f>3600*2+2*12*75</f>
        <v>9000</v>
      </c>
      <c r="E12" t="s">
        <v>1013</v>
      </c>
    </row>
    <row r="13" spans="3:8" x14ac:dyDescent="0.35">
      <c r="C13" s="11" t="s">
        <v>1014</v>
      </c>
      <c r="D13" s="78">
        <f>SUM(D10:D12)*0.6</f>
        <v>42600</v>
      </c>
      <c r="E13" t="s">
        <v>1015</v>
      </c>
    </row>
    <row r="14" spans="3:8" ht="15" thickBot="1" x14ac:dyDescent="0.4">
      <c r="C14" s="111" t="s">
        <v>984</v>
      </c>
      <c r="D14" s="98">
        <f>SUM(D10:D13)</f>
        <v>113600</v>
      </c>
    </row>
    <row r="15" spans="3:8" ht="15" thickTop="1" x14ac:dyDescent="0.35">
      <c r="C15" s="10"/>
      <c r="D15" s="158"/>
    </row>
    <row r="16" spans="3:8" x14ac:dyDescent="0.35">
      <c r="C16" s="10" t="s">
        <v>1016</v>
      </c>
    </row>
    <row r="17" spans="3:5" x14ac:dyDescent="0.35">
      <c r="C17" s="11" t="s">
        <v>780</v>
      </c>
      <c r="D17" s="78">
        <f>(2500+3600)*8</f>
        <v>48800</v>
      </c>
      <c r="E17" t="s">
        <v>1017</v>
      </c>
    </row>
    <row r="18" spans="3:5" x14ac:dyDescent="0.35">
      <c r="C18" s="11" t="s">
        <v>1010</v>
      </c>
      <c r="D18" s="112">
        <f>7*30*150</f>
        <v>31500</v>
      </c>
      <c r="E18" t="s">
        <v>1011</v>
      </c>
    </row>
    <row r="19" spans="3:5" x14ac:dyDescent="0.35">
      <c r="C19" s="11" t="s">
        <v>1012</v>
      </c>
      <c r="D19" s="112">
        <f>(3600*2+2*12*75)*2</f>
        <v>18000</v>
      </c>
      <c r="E19" t="s">
        <v>1013</v>
      </c>
    </row>
    <row r="20" spans="3:5" x14ac:dyDescent="0.35">
      <c r="C20" s="11" t="s">
        <v>1018</v>
      </c>
      <c r="D20" s="78">
        <f>SUM(D17:D19)*0.8</f>
        <v>78640</v>
      </c>
      <c r="E20" t="s">
        <v>1015</v>
      </c>
    </row>
    <row r="21" spans="3:5" ht="15" thickBot="1" x14ac:dyDescent="0.4">
      <c r="C21" s="111" t="s">
        <v>984</v>
      </c>
      <c r="D21" s="98">
        <f>SUM(D17:D20)</f>
        <v>176940</v>
      </c>
    </row>
    <row r="22" spans="3:5" ht="15" thickTop="1" x14ac:dyDescent="0.35"/>
    <row r="23" spans="3:5" x14ac:dyDescent="0.35">
      <c r="C23" s="10" t="s">
        <v>1019</v>
      </c>
    </row>
    <row r="24" spans="3:5" x14ac:dyDescent="0.35">
      <c r="C24" s="11" t="s">
        <v>1020</v>
      </c>
      <c r="D24" s="78">
        <f>75*2*12*5*2</f>
        <v>18000</v>
      </c>
      <c r="E24" t="s">
        <v>1021</v>
      </c>
    </row>
    <row r="25" spans="3:5" x14ac:dyDescent="0.35">
      <c r="C25" s="11" t="s">
        <v>1022</v>
      </c>
      <c r="D25" s="78">
        <f>(125+75)*5*10+75*10*5+3650*2</f>
        <v>21050</v>
      </c>
      <c r="E25" t="s">
        <v>1023</v>
      </c>
    </row>
    <row r="26" spans="3:5" x14ac:dyDescent="0.35">
      <c r="C26" s="11" t="s">
        <v>1024</v>
      </c>
      <c r="D26" s="78">
        <f>3500</f>
        <v>3500</v>
      </c>
      <c r="E26" t="s">
        <v>1025</v>
      </c>
    </row>
    <row r="27" spans="3:5" x14ac:dyDescent="0.35">
      <c r="C27" s="11" t="s">
        <v>1026</v>
      </c>
      <c r="D27" s="78">
        <f>(5000+2500)*0.5</f>
        <v>3750</v>
      </c>
      <c r="E27" t="s">
        <v>1027</v>
      </c>
    </row>
    <row r="28" spans="3:5" x14ac:dyDescent="0.35">
      <c r="C28" s="11" t="s">
        <v>1014</v>
      </c>
      <c r="D28" s="78">
        <f>SUM(D24:D27)*0.6</f>
        <v>27780</v>
      </c>
      <c r="E28" t="s">
        <v>1028</v>
      </c>
    </row>
    <row r="29" spans="3:5" ht="15" thickBot="1" x14ac:dyDescent="0.4">
      <c r="C29" s="111" t="s">
        <v>984</v>
      </c>
      <c r="D29" s="98">
        <f>SUM(D24:D28)</f>
        <v>74080</v>
      </c>
    </row>
    <row r="30" spans="3:5" ht="15" thickTop="1" x14ac:dyDescent="0.35"/>
    <row r="32" spans="3:5" x14ac:dyDescent="0.35">
      <c r="C32" s="10" t="s">
        <v>1029</v>
      </c>
    </row>
    <row r="33" spans="3:5" x14ac:dyDescent="0.35">
      <c r="C33" s="11" t="s">
        <v>1030</v>
      </c>
      <c r="D33" s="78">
        <f>(75*2*12*5)/2</f>
        <v>4500</v>
      </c>
      <c r="E33" t="s">
        <v>1031</v>
      </c>
    </row>
    <row r="34" spans="3:5" x14ac:dyDescent="0.35">
      <c r="C34" s="11" t="s">
        <v>1032</v>
      </c>
      <c r="D34" s="78">
        <v>1500</v>
      </c>
      <c r="E34" t="s">
        <v>1033</v>
      </c>
    </row>
    <row r="35" spans="3:5" x14ac:dyDescent="0.35">
      <c r="C35" s="11" t="s">
        <v>1014</v>
      </c>
      <c r="D35" s="78">
        <f>SUM(D30:D34)*0.6</f>
        <v>3600</v>
      </c>
      <c r="E35" t="s">
        <v>1028</v>
      </c>
    </row>
    <row r="36" spans="3:5" ht="15" thickBot="1" x14ac:dyDescent="0.4">
      <c r="C36" s="111" t="s">
        <v>984</v>
      </c>
      <c r="D36" s="98">
        <f>SUM(D33:D35)</f>
        <v>9600</v>
      </c>
    </row>
    <row r="37" spans="3:5" ht="15" thickTop="1" x14ac:dyDescent="0.35"/>
    <row r="38" spans="3:5" x14ac:dyDescent="0.35">
      <c r="C38" s="10" t="s">
        <v>298</v>
      </c>
    </row>
    <row r="39" spans="3:5" x14ac:dyDescent="0.35">
      <c r="C39" s="11" t="s">
        <v>1034</v>
      </c>
      <c r="D39" s="78">
        <v>85000</v>
      </c>
      <c r="E39" t="s">
        <v>1035</v>
      </c>
    </row>
    <row r="40" spans="3:5" x14ac:dyDescent="0.35">
      <c r="C40" s="11" t="s">
        <v>1036</v>
      </c>
      <c r="D40" s="78">
        <f>75*12*7*4</f>
        <v>25200</v>
      </c>
      <c r="E40" t="s">
        <v>1037</v>
      </c>
    </row>
    <row r="41" spans="3:5" x14ac:dyDescent="0.35">
      <c r="C41" s="11" t="s">
        <v>1038</v>
      </c>
      <c r="D41" s="78">
        <f>2500*2+1500</f>
        <v>6500</v>
      </c>
      <c r="E41" t="s">
        <v>1039</v>
      </c>
    </row>
    <row r="42" spans="3:5" x14ac:dyDescent="0.35">
      <c r="C42" s="11" t="s">
        <v>778</v>
      </c>
      <c r="D42" s="89">
        <f>'Cost (2)'!$E$135*0.1</f>
        <v>403133.7</v>
      </c>
      <c r="E42" t="s">
        <v>1040</v>
      </c>
    </row>
    <row r="43" spans="3:5" x14ac:dyDescent="0.35">
      <c r="C43" s="11" t="s">
        <v>1041</v>
      </c>
      <c r="D43" s="89">
        <f>SUM(D39:D42)*0.2</f>
        <v>103966.74</v>
      </c>
      <c r="E43" t="s">
        <v>1042</v>
      </c>
    </row>
    <row r="44" spans="3:5" ht="15" thickBot="1" x14ac:dyDescent="0.4">
      <c r="C44" s="111" t="s">
        <v>984</v>
      </c>
      <c r="D44" s="98">
        <f>SUM(D39:D43)</f>
        <v>623800.44000000006</v>
      </c>
    </row>
    <row r="45" spans="3:5" ht="15" thickTop="1" x14ac:dyDescent="0.35">
      <c r="C45" s="10"/>
      <c r="D45" s="158"/>
    </row>
    <row r="46" spans="3:5" x14ac:dyDescent="0.35">
      <c r="C46" s="10" t="s">
        <v>1043</v>
      </c>
    </row>
    <row r="47" spans="3:5" x14ac:dyDescent="0.35">
      <c r="C47" s="11" t="s">
        <v>1034</v>
      </c>
      <c r="D47" s="78">
        <v>85000</v>
      </c>
      <c r="E47" t="s">
        <v>1035</v>
      </c>
    </row>
    <row r="48" spans="3:5" x14ac:dyDescent="0.35">
      <c r="C48" s="11" t="s">
        <v>1036</v>
      </c>
      <c r="D48" s="78">
        <f>75*12*7*4</f>
        <v>25200</v>
      </c>
      <c r="E48" t="s">
        <v>1037</v>
      </c>
    </row>
    <row r="49" spans="1:5" x14ac:dyDescent="0.35">
      <c r="C49" s="11" t="s">
        <v>1038</v>
      </c>
      <c r="D49" s="78">
        <f>2500*2+1500</f>
        <v>6500</v>
      </c>
      <c r="E49" t="s">
        <v>1039</v>
      </c>
    </row>
    <row r="50" spans="1:5" x14ac:dyDescent="0.35">
      <c r="C50" s="11" t="s">
        <v>778</v>
      </c>
      <c r="D50" s="89">
        <f>('Cost (2)'!L206+'Cost (2)'!M206)*0.1</f>
        <v>78660</v>
      </c>
      <c r="E50" t="s">
        <v>1007</v>
      </c>
    </row>
    <row r="51" spans="1:5" x14ac:dyDescent="0.35">
      <c r="C51" s="11" t="s">
        <v>1044</v>
      </c>
      <c r="D51" s="89">
        <v>150000</v>
      </c>
      <c r="E51" t="s">
        <v>1045</v>
      </c>
    </row>
    <row r="52" spans="1:5" ht="15" thickBot="1" x14ac:dyDescent="0.4">
      <c r="A52" s="183"/>
      <c r="C52" s="111" t="s">
        <v>984</v>
      </c>
      <c r="D52" s="98">
        <f>SUM(D47:D51)</f>
        <v>345360</v>
      </c>
    </row>
    <row r="53" spans="1:5" ht="15" thickTop="1" x14ac:dyDescent="0.35">
      <c r="A53" s="183"/>
      <c r="C53" s="10"/>
      <c r="D53" s="158"/>
    </row>
    <row r="54" spans="1:5" x14ac:dyDescent="0.35">
      <c r="C54" s="10" t="s">
        <v>1046</v>
      </c>
    </row>
    <row r="55" spans="1:5" x14ac:dyDescent="0.35">
      <c r="C55" s="11" t="s">
        <v>1034</v>
      </c>
      <c r="D55" s="78">
        <v>85000</v>
      </c>
      <c r="E55" t="s">
        <v>1035</v>
      </c>
    </row>
    <row r="56" spans="1:5" x14ac:dyDescent="0.35">
      <c r="C56" s="11" t="s">
        <v>1036</v>
      </c>
      <c r="D56" s="78">
        <f>75*12*7*4</f>
        <v>25200</v>
      </c>
      <c r="E56" t="s">
        <v>1037</v>
      </c>
    </row>
    <row r="57" spans="1:5" x14ac:dyDescent="0.35">
      <c r="C57" s="11" t="s">
        <v>1038</v>
      </c>
      <c r="D57" s="78">
        <f>2500*1+1500</f>
        <v>4000</v>
      </c>
      <c r="E57" t="s">
        <v>1047</v>
      </c>
    </row>
    <row r="58" spans="1:5" x14ac:dyDescent="0.35">
      <c r="C58" s="11" t="s">
        <v>778</v>
      </c>
      <c r="D58" s="89">
        <f>('Cost (2)'!L273+'Cost (2)'!M273)*0.1</f>
        <v>222960</v>
      </c>
      <c r="E58" t="s">
        <v>1007</v>
      </c>
    </row>
    <row r="59" spans="1:5" x14ac:dyDescent="0.35">
      <c r="C59" s="11" t="s">
        <v>1041</v>
      </c>
      <c r="D59" s="89">
        <f>SUM(D55:D58)*0.2</f>
        <v>67432</v>
      </c>
      <c r="E59" t="s">
        <v>1042</v>
      </c>
    </row>
    <row r="60" spans="1:5" ht="15" thickBot="1" x14ac:dyDescent="0.4">
      <c r="C60" s="111" t="s">
        <v>984</v>
      </c>
      <c r="D60" s="98">
        <f>SUM(D55:D59)</f>
        <v>404592</v>
      </c>
    </row>
    <row r="61" spans="1:5" ht="15" thickTop="1" x14ac:dyDescent="0.35">
      <c r="C61" s="10"/>
      <c r="D61" s="158"/>
    </row>
    <row r="62" spans="1:5" x14ac:dyDescent="0.35">
      <c r="C62" s="10" t="s">
        <v>1048</v>
      </c>
    </row>
    <row r="63" spans="1:5" x14ac:dyDescent="0.35">
      <c r="C63" s="11" t="s">
        <v>1020</v>
      </c>
      <c r="D63" s="78">
        <f>4*75*8</f>
        <v>2400</v>
      </c>
      <c r="E63" t="s">
        <v>1049</v>
      </c>
    </row>
    <row r="64" spans="1:5" x14ac:dyDescent="0.35">
      <c r="C64" s="11" t="s">
        <v>778</v>
      </c>
      <c r="D64" s="89">
        <v>10000</v>
      </c>
      <c r="E64" t="s">
        <v>779</v>
      </c>
    </row>
    <row r="65" spans="3:5" x14ac:dyDescent="0.35">
      <c r="C65" s="11" t="s">
        <v>1014</v>
      </c>
      <c r="D65" s="78">
        <f>SUM(D63:D64)*0.6</f>
        <v>7440</v>
      </c>
      <c r="E65" t="s">
        <v>1050</v>
      </c>
    </row>
    <row r="66" spans="3:5" ht="15" thickBot="1" x14ac:dyDescent="0.4">
      <c r="C66" s="111" t="s">
        <v>984</v>
      </c>
      <c r="D66" s="98">
        <f>SUM(D63:D65)</f>
        <v>19840</v>
      </c>
    </row>
    <row r="67" spans="3:5" ht="15" thickTop="1" x14ac:dyDescent="0.35"/>
    <row r="68" spans="3:5" x14ac:dyDescent="0.35">
      <c r="C68" s="10" t="s">
        <v>29</v>
      </c>
    </row>
    <row r="69" spans="3:5" x14ac:dyDescent="0.35">
      <c r="C69" s="11" t="s">
        <v>1020</v>
      </c>
      <c r="D69" s="78">
        <f>1*12*75*2</f>
        <v>1800</v>
      </c>
      <c r="E69" t="s">
        <v>1051</v>
      </c>
    </row>
    <row r="70" spans="3:5" x14ac:dyDescent="0.35">
      <c r="C70" s="11" t="s">
        <v>1052</v>
      </c>
      <c r="D70" s="78">
        <f>1500*6</f>
        <v>9000</v>
      </c>
      <c r="E70" t="s">
        <v>1053</v>
      </c>
    </row>
    <row r="71" spans="3:5" x14ac:dyDescent="0.35">
      <c r="C71" s="11" t="s">
        <v>778</v>
      </c>
      <c r="D71" s="78">
        <v>20000</v>
      </c>
      <c r="E71" t="s">
        <v>1054</v>
      </c>
    </row>
    <row r="72" spans="3:5" x14ac:dyDescent="0.35">
      <c r="C72" s="11" t="s">
        <v>1024</v>
      </c>
      <c r="D72" s="78">
        <f>3500</f>
        <v>3500</v>
      </c>
      <c r="E72" t="s">
        <v>1025</v>
      </c>
    </row>
    <row r="73" spans="3:5" x14ac:dyDescent="0.35">
      <c r="C73" s="11" t="s">
        <v>1026</v>
      </c>
      <c r="D73" s="78">
        <f>(5000+2500)*0.5</f>
        <v>3750</v>
      </c>
      <c r="E73" t="s">
        <v>1027</v>
      </c>
    </row>
    <row r="74" spans="3:5" x14ac:dyDescent="0.35">
      <c r="C74" s="11" t="s">
        <v>1014</v>
      </c>
      <c r="D74" s="78">
        <f>SUM(D68:D73)*0.6</f>
        <v>22830</v>
      </c>
      <c r="E74" t="s">
        <v>1050</v>
      </c>
    </row>
    <row r="75" spans="3:5" ht="15" thickBot="1" x14ac:dyDescent="0.4">
      <c r="C75" s="111" t="s">
        <v>984</v>
      </c>
      <c r="D75" s="98">
        <f>SUM(D69:D74)</f>
        <v>60880</v>
      </c>
    </row>
    <row r="76" spans="3:5" ht="15" thickTop="1" x14ac:dyDescent="0.35">
      <c r="C76" s="10"/>
      <c r="D76" s="158"/>
    </row>
    <row r="77" spans="3:5" x14ac:dyDescent="0.35">
      <c r="C77" s="10" t="s">
        <v>1055</v>
      </c>
    </row>
    <row r="78" spans="3:5" x14ac:dyDescent="0.35">
      <c r="C78" s="11" t="s">
        <v>1020</v>
      </c>
      <c r="D78" s="78">
        <f>1*12*75</f>
        <v>900</v>
      </c>
      <c r="E78" t="s">
        <v>1051</v>
      </c>
    </row>
    <row r="79" spans="3:5" x14ac:dyDescent="0.35">
      <c r="C79" s="11" t="s">
        <v>1052</v>
      </c>
      <c r="D79" s="78">
        <f>1500*6</f>
        <v>9000</v>
      </c>
      <c r="E79" t="s">
        <v>1053</v>
      </c>
    </row>
    <row r="80" spans="3:5" x14ac:dyDescent="0.35">
      <c r="C80" s="11" t="s">
        <v>778</v>
      </c>
      <c r="D80" s="78">
        <v>10000</v>
      </c>
      <c r="E80" t="s">
        <v>1054</v>
      </c>
    </row>
    <row r="81" spans="3:5" x14ac:dyDescent="0.35">
      <c r="C81" s="11" t="s">
        <v>1024</v>
      </c>
      <c r="D81" s="78">
        <v>700</v>
      </c>
      <c r="E81" t="s">
        <v>1025</v>
      </c>
    </row>
    <row r="82" spans="3:5" x14ac:dyDescent="0.35">
      <c r="C82" s="11" t="s">
        <v>1026</v>
      </c>
      <c r="D82" s="78">
        <v>1500</v>
      </c>
      <c r="E82" t="s">
        <v>1027</v>
      </c>
    </row>
    <row r="83" spans="3:5" x14ac:dyDescent="0.35">
      <c r="C83" s="11" t="s">
        <v>1056</v>
      </c>
      <c r="D83" s="78">
        <f>SUM(D77:D82)*0.3</f>
        <v>6630</v>
      </c>
      <c r="E83" t="s">
        <v>1050</v>
      </c>
    </row>
    <row r="84" spans="3:5" ht="15" thickBot="1" x14ac:dyDescent="0.4">
      <c r="C84" s="111" t="s">
        <v>984</v>
      </c>
      <c r="D84" s="98">
        <f>SUM(D78:D83)</f>
        <v>28730</v>
      </c>
    </row>
    <row r="85" spans="3:5" ht="15" thickTop="1" x14ac:dyDescent="0.35">
      <c r="C85" s="113"/>
    </row>
    <row r="86" spans="3:5" x14ac:dyDescent="0.35">
      <c r="C86" s="10" t="s">
        <v>1057</v>
      </c>
    </row>
    <row r="87" spans="3:5" x14ac:dyDescent="0.35">
      <c r="C87" s="11" t="s">
        <v>1020</v>
      </c>
      <c r="D87" s="78">
        <f>2*12*75*4</f>
        <v>7200</v>
      </c>
      <c r="E87" t="s">
        <v>1058</v>
      </c>
    </row>
    <row r="88" spans="3:5" x14ac:dyDescent="0.35">
      <c r="C88" s="11" t="s">
        <v>1052</v>
      </c>
      <c r="D88" s="78">
        <f>1500*4</f>
        <v>6000</v>
      </c>
      <c r="E88" t="s">
        <v>1059</v>
      </c>
    </row>
    <row r="89" spans="3:5" x14ac:dyDescent="0.35">
      <c r="C89" s="11" t="s">
        <v>778</v>
      </c>
      <c r="D89" s="78">
        <v>10000</v>
      </c>
      <c r="E89" t="s">
        <v>1054</v>
      </c>
    </row>
    <row r="90" spans="3:5" x14ac:dyDescent="0.35">
      <c r="C90" s="11" t="s">
        <v>1060</v>
      </c>
      <c r="D90" s="78">
        <f>2*75*10</f>
        <v>1500</v>
      </c>
      <c r="E90" t="s">
        <v>1061</v>
      </c>
    </row>
    <row r="91" spans="3:5" x14ac:dyDescent="0.35">
      <c r="C91" s="11" t="s">
        <v>1024</v>
      </c>
      <c r="D91" s="78">
        <f>3500</f>
        <v>3500</v>
      </c>
      <c r="E91" t="s">
        <v>1025</v>
      </c>
    </row>
    <row r="92" spans="3:5" x14ac:dyDescent="0.35">
      <c r="C92" s="11" t="s">
        <v>1026</v>
      </c>
      <c r="D92" s="78">
        <f>(5000+2500)*0.5</f>
        <v>3750</v>
      </c>
      <c r="E92" t="s">
        <v>1027</v>
      </c>
    </row>
    <row r="93" spans="3:5" x14ac:dyDescent="0.35">
      <c r="C93" s="11" t="s">
        <v>1014</v>
      </c>
      <c r="D93" s="78">
        <f>SUM(D87:D92)*0.6</f>
        <v>19170</v>
      </c>
      <c r="E93" t="s">
        <v>1050</v>
      </c>
    </row>
    <row r="94" spans="3:5" ht="15" thickBot="1" x14ac:dyDescent="0.4">
      <c r="C94" s="111" t="s">
        <v>984</v>
      </c>
      <c r="D94" s="98">
        <f>SUM(D87:D93)</f>
        <v>51120</v>
      </c>
    </row>
    <row r="95" spans="3:5" ht="15" thickTop="1" x14ac:dyDescent="0.35"/>
    <row r="96" spans="3:5" x14ac:dyDescent="0.35">
      <c r="C96" s="10" t="s">
        <v>1062</v>
      </c>
    </row>
    <row r="97" spans="3:5" x14ac:dyDescent="0.35">
      <c r="C97" s="11" t="s">
        <v>1020</v>
      </c>
      <c r="D97" s="78">
        <f>1*12*75+150*1.3</f>
        <v>1095</v>
      </c>
      <c r="E97" t="s">
        <v>1063</v>
      </c>
    </row>
    <row r="98" spans="3:5" x14ac:dyDescent="0.35">
      <c r="C98" s="11" t="s">
        <v>1064</v>
      </c>
      <c r="D98" s="78">
        <f>2*75*10+150*2*1.3</f>
        <v>1890</v>
      </c>
      <c r="E98" t="s">
        <v>1065</v>
      </c>
    </row>
    <row r="99" spans="3:5" x14ac:dyDescent="0.35">
      <c r="C99" s="11" t="s">
        <v>1014</v>
      </c>
      <c r="D99" s="78">
        <f>SUM(D94:D98)*0.6</f>
        <v>32463</v>
      </c>
      <c r="E99" t="s">
        <v>1050</v>
      </c>
    </row>
    <row r="100" spans="3:5" ht="15" thickBot="1" x14ac:dyDescent="0.4">
      <c r="C100" s="111" t="s">
        <v>984</v>
      </c>
      <c r="D100" s="98">
        <f>SUM(D97:D99)</f>
        <v>35448</v>
      </c>
    </row>
    <row r="101" spans="3:5" ht="15" thickTop="1" x14ac:dyDescent="0.35"/>
    <row r="102" spans="3:5" x14ac:dyDescent="0.35">
      <c r="C102" s="10" t="s">
        <v>1066</v>
      </c>
    </row>
    <row r="103" spans="3:5" x14ac:dyDescent="0.35">
      <c r="C103" s="11" t="s">
        <v>1020</v>
      </c>
      <c r="D103" s="78">
        <f>2*12*75*2</f>
        <v>3600</v>
      </c>
      <c r="E103" t="s">
        <v>1067</v>
      </c>
    </row>
    <row r="104" spans="3:5" x14ac:dyDescent="0.35">
      <c r="C104" s="11" t="s">
        <v>1052</v>
      </c>
      <c r="D104" s="78">
        <f>1500*4</f>
        <v>6000</v>
      </c>
      <c r="E104" t="s">
        <v>1059</v>
      </c>
    </row>
    <row r="105" spans="3:5" x14ac:dyDescent="0.35">
      <c r="C105" s="11" t="s">
        <v>1064</v>
      </c>
      <c r="D105" s="78">
        <f>2*75*10</f>
        <v>1500</v>
      </c>
      <c r="E105" t="s">
        <v>1061</v>
      </c>
    </row>
    <row r="106" spans="3:5" x14ac:dyDescent="0.35">
      <c r="C106" s="11" t="s">
        <v>1024</v>
      </c>
      <c r="D106" s="78">
        <f>3500</f>
        <v>3500</v>
      </c>
      <c r="E106" t="s">
        <v>1025</v>
      </c>
    </row>
    <row r="107" spans="3:5" x14ac:dyDescent="0.35">
      <c r="C107" s="11" t="s">
        <v>1026</v>
      </c>
      <c r="D107" s="78">
        <f>(5000+2500)*0.5</f>
        <v>3750</v>
      </c>
      <c r="E107" t="s">
        <v>1027</v>
      </c>
    </row>
    <row r="108" spans="3:5" x14ac:dyDescent="0.35">
      <c r="C108" s="11" t="s">
        <v>1014</v>
      </c>
      <c r="D108" s="78">
        <f>SUM(D103:D107)*0.6</f>
        <v>11010</v>
      </c>
      <c r="E108" t="s">
        <v>1050</v>
      </c>
    </row>
    <row r="109" spans="3:5" ht="15" thickBot="1" x14ac:dyDescent="0.4">
      <c r="C109" s="111" t="s">
        <v>984</v>
      </c>
      <c r="D109" s="98">
        <f>SUM(D103:D108)</f>
        <v>29360</v>
      </c>
    </row>
    <row r="110" spans="3:5" ht="15" thickTop="1" x14ac:dyDescent="0.35"/>
    <row r="112" spans="3:5" x14ac:dyDescent="0.35">
      <c r="C112" s="10" t="s">
        <v>166</v>
      </c>
    </row>
    <row r="113" spans="3:5" x14ac:dyDescent="0.35">
      <c r="C113" s="11" t="s">
        <v>1020</v>
      </c>
      <c r="D113" s="78">
        <f>2*12*75*2</f>
        <v>3600</v>
      </c>
      <c r="E113" t="s">
        <v>1067</v>
      </c>
    </row>
    <row r="114" spans="3:5" x14ac:dyDescent="0.35">
      <c r="C114" s="11" t="s">
        <v>1052</v>
      </c>
      <c r="D114" s="78">
        <f>1500*2</f>
        <v>3000</v>
      </c>
      <c r="E114" t="s">
        <v>1068</v>
      </c>
    </row>
    <row r="115" spans="3:5" x14ac:dyDescent="0.35">
      <c r="C115" s="11" t="s">
        <v>1064</v>
      </c>
      <c r="D115" s="78">
        <f>2*75*10</f>
        <v>1500</v>
      </c>
      <c r="E115" t="s">
        <v>1061</v>
      </c>
    </row>
    <row r="116" spans="3:5" x14ac:dyDescent="0.35">
      <c r="C116" s="11" t="s">
        <v>1024</v>
      </c>
      <c r="D116" s="78">
        <f>3500</f>
        <v>3500</v>
      </c>
      <c r="E116" t="s">
        <v>1025</v>
      </c>
    </row>
    <row r="117" spans="3:5" x14ac:dyDescent="0.35">
      <c r="C117" s="11" t="s">
        <v>1026</v>
      </c>
      <c r="D117" s="78">
        <f>(5000+2500)*0.5</f>
        <v>3750</v>
      </c>
      <c r="E117" t="s">
        <v>1027</v>
      </c>
    </row>
    <row r="118" spans="3:5" x14ac:dyDescent="0.35">
      <c r="C118" s="11" t="s">
        <v>1014</v>
      </c>
      <c r="D118" s="78">
        <f>SUM(D112:D117)*0.6</f>
        <v>9210</v>
      </c>
      <c r="E118" t="s">
        <v>1050</v>
      </c>
    </row>
    <row r="119" spans="3:5" ht="15" thickBot="1" x14ac:dyDescent="0.4">
      <c r="C119" s="111" t="s">
        <v>984</v>
      </c>
      <c r="D119" s="98">
        <f>SUM(D113:D118)</f>
        <v>24560</v>
      </c>
    </row>
    <row r="120" spans="3:5" ht="15" thickTop="1" x14ac:dyDescent="0.35">
      <c r="C120" s="10"/>
      <c r="D120" s="158"/>
    </row>
    <row r="121" spans="3:5" x14ac:dyDescent="0.35">
      <c r="C121" s="10" t="s">
        <v>196</v>
      </c>
    </row>
    <row r="122" spans="3:5" x14ac:dyDescent="0.35">
      <c r="C122" s="11" t="s">
        <v>1020</v>
      </c>
      <c r="D122" s="78">
        <f>2*12*75*2</f>
        <v>3600</v>
      </c>
      <c r="E122" t="s">
        <v>1067</v>
      </c>
    </row>
    <row r="123" spans="3:5" x14ac:dyDescent="0.35">
      <c r="C123" s="11" t="s">
        <v>1052</v>
      </c>
      <c r="D123" s="78">
        <f>1500*2</f>
        <v>3000</v>
      </c>
      <c r="E123" t="s">
        <v>1068</v>
      </c>
    </row>
    <row r="124" spans="3:5" x14ac:dyDescent="0.35">
      <c r="C124" s="11" t="s">
        <v>1022</v>
      </c>
      <c r="D124" s="78">
        <f>(125+75)*5*10+75*10*5+3650*2</f>
        <v>21050</v>
      </c>
      <c r="E124" t="s">
        <v>1023</v>
      </c>
    </row>
    <row r="125" spans="3:5" x14ac:dyDescent="0.35">
      <c r="C125" s="11" t="s">
        <v>1064</v>
      </c>
      <c r="D125" s="78">
        <f>2*75*10</f>
        <v>1500</v>
      </c>
      <c r="E125" t="s">
        <v>1061</v>
      </c>
    </row>
    <row r="126" spans="3:5" x14ac:dyDescent="0.35">
      <c r="C126" s="11" t="s">
        <v>1024</v>
      </c>
      <c r="D126" s="78">
        <f>3500</f>
        <v>3500</v>
      </c>
      <c r="E126" t="s">
        <v>1025</v>
      </c>
    </row>
    <row r="127" spans="3:5" x14ac:dyDescent="0.35">
      <c r="C127" s="11" t="s">
        <v>1026</v>
      </c>
      <c r="D127" s="78">
        <f>(5000+2500)*0.5</f>
        <v>3750</v>
      </c>
      <c r="E127" t="s">
        <v>1027</v>
      </c>
    </row>
    <row r="128" spans="3:5" x14ac:dyDescent="0.35">
      <c r="C128" s="11" t="s">
        <v>1014</v>
      </c>
      <c r="D128" s="78">
        <f>SUM(D122:D127)*0.6</f>
        <v>21840</v>
      </c>
      <c r="E128" t="s">
        <v>1050</v>
      </c>
    </row>
    <row r="129" spans="3:5" ht="15" thickBot="1" x14ac:dyDescent="0.4">
      <c r="C129" s="111" t="s">
        <v>984</v>
      </c>
      <c r="D129" s="98">
        <f>SUM(D122:D128)</f>
        <v>58240</v>
      </c>
    </row>
    <row r="130" spans="3:5" ht="15" thickTop="1" x14ac:dyDescent="0.35">
      <c r="C130" s="10"/>
      <c r="D130" s="158"/>
    </row>
    <row r="132" spans="3:5" x14ac:dyDescent="0.35">
      <c r="C132" s="10" t="s">
        <v>404</v>
      </c>
    </row>
    <row r="133" spans="3:5" x14ac:dyDescent="0.35">
      <c r="C133" s="11" t="s">
        <v>1020</v>
      </c>
      <c r="D133" s="78">
        <f>1*12*75*1</f>
        <v>900</v>
      </c>
      <c r="E133" t="s">
        <v>1069</v>
      </c>
    </row>
    <row r="134" spans="3:5" x14ac:dyDescent="0.35">
      <c r="C134" s="11" t="s">
        <v>1052</v>
      </c>
      <c r="D134" s="78">
        <f>1500*6</f>
        <v>9000</v>
      </c>
      <c r="E134" t="s">
        <v>1053</v>
      </c>
    </row>
    <row r="135" spans="3:5" x14ac:dyDescent="0.35">
      <c r="C135" s="11" t="s">
        <v>1064</v>
      </c>
      <c r="D135" s="78">
        <f>2*75*10</f>
        <v>1500</v>
      </c>
      <c r="E135" t="s">
        <v>1061</v>
      </c>
    </row>
    <row r="136" spans="3:5" x14ac:dyDescent="0.35">
      <c r="C136" s="11" t="s">
        <v>1026</v>
      </c>
      <c r="D136" s="78">
        <f>(5000+2500)*0.5</f>
        <v>3750</v>
      </c>
      <c r="E136" t="s">
        <v>1070</v>
      </c>
    </row>
    <row r="137" spans="3:5" x14ac:dyDescent="0.35">
      <c r="C137" s="11" t="s">
        <v>1014</v>
      </c>
      <c r="D137" s="78">
        <f>SUM(D133:D136)*0.6</f>
        <v>9090</v>
      </c>
      <c r="E137" t="s">
        <v>1050</v>
      </c>
    </row>
    <row r="138" spans="3:5" ht="15" thickBot="1" x14ac:dyDescent="0.4">
      <c r="C138" s="111" t="s">
        <v>984</v>
      </c>
      <c r="D138" s="98">
        <f>SUM(D133:D137)</f>
        <v>24240</v>
      </c>
    </row>
    <row r="139" spans="3:5" ht="15" thickTop="1" x14ac:dyDescent="0.35"/>
    <row r="141" spans="3:5" x14ac:dyDescent="0.35">
      <c r="C141" s="10" t="s">
        <v>1071</v>
      </c>
    </row>
    <row r="142" spans="3:5" x14ac:dyDescent="0.35">
      <c r="C142" s="11" t="s">
        <v>1020</v>
      </c>
      <c r="D142" s="78">
        <f>2*12*75*2</f>
        <v>3600</v>
      </c>
      <c r="E142" t="s">
        <v>1067</v>
      </c>
    </row>
    <row r="143" spans="3:5" x14ac:dyDescent="0.35">
      <c r="C143" s="11" t="s">
        <v>1064</v>
      </c>
      <c r="D143" s="78">
        <f>2*75*10</f>
        <v>1500</v>
      </c>
      <c r="E143" t="s">
        <v>1061</v>
      </c>
    </row>
    <row r="144" spans="3:5" x14ac:dyDescent="0.35">
      <c r="C144" s="11" t="s">
        <v>1052</v>
      </c>
      <c r="D144" s="78">
        <f>1500*6</f>
        <v>9000</v>
      </c>
      <c r="E144" t="s">
        <v>1053</v>
      </c>
    </row>
    <row r="145" spans="3:5" x14ac:dyDescent="0.35">
      <c r="C145" s="11" t="s">
        <v>1024</v>
      </c>
      <c r="D145" s="78">
        <f>3500</f>
        <v>3500</v>
      </c>
      <c r="E145" t="s">
        <v>1025</v>
      </c>
    </row>
    <row r="146" spans="3:5" x14ac:dyDescent="0.35">
      <c r="C146" s="11" t="s">
        <v>1026</v>
      </c>
      <c r="D146" s="78">
        <f>(5000+2500)*0.5</f>
        <v>3750</v>
      </c>
      <c r="E146" t="s">
        <v>1027</v>
      </c>
    </row>
    <row r="147" spans="3:5" x14ac:dyDescent="0.35">
      <c r="C147" s="11" t="s">
        <v>1014</v>
      </c>
      <c r="D147" s="78">
        <f>SUM(D141:D146)*0.6</f>
        <v>12810</v>
      </c>
      <c r="E147" t="s">
        <v>1050</v>
      </c>
    </row>
    <row r="148" spans="3:5" ht="15" thickBot="1" x14ac:dyDescent="0.4">
      <c r="C148" s="111" t="s">
        <v>984</v>
      </c>
      <c r="D148" s="98">
        <f>SUM(D142:D147)</f>
        <v>34160</v>
      </c>
    </row>
    <row r="149" spans="3:5" ht="15" thickTop="1" x14ac:dyDescent="0.35"/>
    <row r="151" spans="3:5" x14ac:dyDescent="0.35">
      <c r="C151" s="10" t="s">
        <v>1072</v>
      </c>
    </row>
    <row r="152" spans="3:5" x14ac:dyDescent="0.35">
      <c r="C152" s="11" t="s">
        <v>1020</v>
      </c>
      <c r="D152" s="78">
        <f>2*12*75*2</f>
        <v>3600</v>
      </c>
      <c r="E152" t="s">
        <v>1067</v>
      </c>
    </row>
    <row r="153" spans="3:5" x14ac:dyDescent="0.35">
      <c r="C153" s="11" t="s">
        <v>1052</v>
      </c>
      <c r="D153" s="78">
        <f>1500*2</f>
        <v>3000</v>
      </c>
      <c r="E153" t="s">
        <v>1068</v>
      </c>
    </row>
    <row r="154" spans="3:5" x14ac:dyDescent="0.35">
      <c r="C154" s="11" t="s">
        <v>1064</v>
      </c>
      <c r="D154" s="78">
        <f>2*75*10</f>
        <v>1500</v>
      </c>
      <c r="E154" t="s">
        <v>1061</v>
      </c>
    </row>
    <row r="155" spans="3:5" x14ac:dyDescent="0.35">
      <c r="C155" s="11" t="s">
        <v>1073</v>
      </c>
      <c r="D155" s="78">
        <f>5*5000+3600*2</f>
        <v>32200</v>
      </c>
      <c r="E155" t="s">
        <v>1074</v>
      </c>
    </row>
    <row r="156" spans="3:5" x14ac:dyDescent="0.35">
      <c r="C156" s="11" t="s">
        <v>1024</v>
      </c>
      <c r="D156" s="78">
        <f>3500</f>
        <v>3500</v>
      </c>
      <c r="E156" t="s">
        <v>1025</v>
      </c>
    </row>
    <row r="157" spans="3:5" x14ac:dyDescent="0.35">
      <c r="C157" s="11" t="s">
        <v>1026</v>
      </c>
      <c r="D157" s="78">
        <f>(5000+2500)*0.5</f>
        <v>3750</v>
      </c>
      <c r="E157" t="s">
        <v>1027</v>
      </c>
    </row>
    <row r="158" spans="3:5" x14ac:dyDescent="0.35">
      <c r="C158" s="11" t="s">
        <v>1018</v>
      </c>
      <c r="D158" s="78">
        <f>SUM(D152:D157)*0.8</f>
        <v>38040</v>
      </c>
      <c r="E158" t="s">
        <v>1050</v>
      </c>
    </row>
    <row r="159" spans="3:5" ht="15" thickBot="1" x14ac:dyDescent="0.4">
      <c r="C159" s="111" t="s">
        <v>984</v>
      </c>
      <c r="D159" s="98">
        <f>SUM(D152:D158)</f>
        <v>85590</v>
      </c>
    </row>
    <row r="160" spans="3:5" ht="15" thickTop="1" x14ac:dyDescent="0.35"/>
    <row r="161" spans="3:5" x14ac:dyDescent="0.35">
      <c r="C161" s="10" t="s">
        <v>1075</v>
      </c>
      <c r="E161" s="77" t="s">
        <v>1076</v>
      </c>
    </row>
    <row r="162" spans="3:5" x14ac:dyDescent="0.35">
      <c r="C162" s="11" t="s">
        <v>1020</v>
      </c>
      <c r="D162" s="78">
        <f>2*12*75*2</f>
        <v>3600</v>
      </c>
      <c r="E162" t="s">
        <v>1077</v>
      </c>
    </row>
    <row r="163" spans="3:5" x14ac:dyDescent="0.35">
      <c r="C163" s="11" t="s">
        <v>1052</v>
      </c>
      <c r="D163" s="78">
        <f>1500*6</f>
        <v>9000</v>
      </c>
      <c r="E163" t="s">
        <v>1078</v>
      </c>
    </row>
    <row r="164" spans="3:5" x14ac:dyDescent="0.35">
      <c r="C164" s="11" t="s">
        <v>1073</v>
      </c>
      <c r="D164" s="78">
        <f>1*5000+3600*2</f>
        <v>12200</v>
      </c>
      <c r="E164" t="s">
        <v>1079</v>
      </c>
    </row>
    <row r="165" spans="3:5" x14ac:dyDescent="0.35">
      <c r="C165" s="11" t="s">
        <v>1024</v>
      </c>
      <c r="D165" s="78">
        <f>3500</f>
        <v>3500</v>
      </c>
      <c r="E165" t="s">
        <v>1025</v>
      </c>
    </row>
    <row r="166" spans="3:5" x14ac:dyDescent="0.35">
      <c r="C166" s="11" t="s">
        <v>1026</v>
      </c>
      <c r="D166" s="78">
        <f>(5000+2500)*0.5</f>
        <v>3750</v>
      </c>
      <c r="E166" t="s">
        <v>1027</v>
      </c>
    </row>
    <row r="167" spans="3:5" x14ac:dyDescent="0.35">
      <c r="C167" s="11" t="s">
        <v>1014</v>
      </c>
      <c r="D167" s="78">
        <f>SUM(D162:D166)*0.6</f>
        <v>19230</v>
      </c>
      <c r="E167" t="s">
        <v>1050</v>
      </c>
    </row>
    <row r="168" spans="3:5" ht="15" thickBot="1" x14ac:dyDescent="0.4">
      <c r="C168" s="111" t="s">
        <v>984</v>
      </c>
      <c r="D168" s="98">
        <f>SUM(D162:D167)</f>
        <v>51280</v>
      </c>
    </row>
    <row r="169" spans="3:5" ht="15" thickTop="1" x14ac:dyDescent="0.35">
      <c r="C169" s="10"/>
      <c r="D169" s="158"/>
    </row>
    <row r="170" spans="3:5" x14ac:dyDescent="0.35">
      <c r="C170" s="10" t="s">
        <v>429</v>
      </c>
    </row>
    <row r="171" spans="3:5" x14ac:dyDescent="0.35">
      <c r="C171" s="11" t="s">
        <v>1020</v>
      </c>
      <c r="D171" s="78">
        <f>1*12*75</f>
        <v>900</v>
      </c>
      <c r="E171" t="s">
        <v>1080</v>
      </c>
    </row>
    <row r="172" spans="3:5" x14ac:dyDescent="0.35">
      <c r="C172" s="11" t="s">
        <v>1081</v>
      </c>
      <c r="D172" s="78">
        <f>10*Rates!C39</f>
        <v>24000</v>
      </c>
      <c r="E172" t="s">
        <v>1082</v>
      </c>
    </row>
    <row r="173" spans="3:5" x14ac:dyDescent="0.35">
      <c r="C173" s="11" t="s">
        <v>1083</v>
      </c>
      <c r="D173" s="78">
        <f>3500</f>
        <v>3500</v>
      </c>
      <c r="E173" t="s">
        <v>1025</v>
      </c>
    </row>
    <row r="174" spans="3:5" x14ac:dyDescent="0.35">
      <c r="C174" s="11" t="s">
        <v>1084</v>
      </c>
      <c r="D174" s="78">
        <f>(5000+2500)*0.5</f>
        <v>3750</v>
      </c>
      <c r="E174" t="s">
        <v>1085</v>
      </c>
    </row>
    <row r="175" spans="3:5" x14ac:dyDescent="0.35">
      <c r="C175" s="11" t="s">
        <v>1014</v>
      </c>
      <c r="D175" s="78">
        <f>SUM(D168:D174)*0.6</f>
        <v>50058</v>
      </c>
      <c r="E175" t="s">
        <v>1050</v>
      </c>
    </row>
    <row r="176" spans="3:5" ht="15" thickBot="1" x14ac:dyDescent="0.4">
      <c r="C176" s="111" t="s">
        <v>984</v>
      </c>
      <c r="D176" s="98">
        <f>SUM(D171:D175)</f>
        <v>82208</v>
      </c>
    </row>
    <row r="177" spans="3:5" ht="15" thickTop="1" x14ac:dyDescent="0.35"/>
    <row r="179" spans="3:5" x14ac:dyDescent="0.35">
      <c r="C179" s="10" t="s">
        <v>1086</v>
      </c>
    </row>
    <row r="180" spans="3:5" x14ac:dyDescent="0.35">
      <c r="C180" s="11" t="s">
        <v>1020</v>
      </c>
      <c r="D180" s="78">
        <f>1*12*75*2</f>
        <v>1800</v>
      </c>
      <c r="E180" t="s">
        <v>1087</v>
      </c>
    </row>
    <row r="181" spans="3:5" x14ac:dyDescent="0.35">
      <c r="C181" s="11" t="s">
        <v>1060</v>
      </c>
      <c r="D181" s="78">
        <f>2*75*10</f>
        <v>1500</v>
      </c>
      <c r="E181" t="s">
        <v>1061</v>
      </c>
    </row>
    <row r="182" spans="3:5" x14ac:dyDescent="0.35">
      <c r="C182" s="11" t="s">
        <v>1024</v>
      </c>
      <c r="D182" s="78">
        <f>3500</f>
        <v>3500</v>
      </c>
      <c r="E182" t="s">
        <v>1025</v>
      </c>
    </row>
    <row r="183" spans="3:5" x14ac:dyDescent="0.35">
      <c r="C183" s="11" t="s">
        <v>1026</v>
      </c>
      <c r="D183" s="78">
        <f>(5000+2500)*0.5</f>
        <v>3750</v>
      </c>
      <c r="E183" t="s">
        <v>1088</v>
      </c>
    </row>
    <row r="184" spans="3:5" x14ac:dyDescent="0.35">
      <c r="C184" s="11" t="s">
        <v>778</v>
      </c>
      <c r="D184" s="78">
        <v>50000</v>
      </c>
      <c r="E184" t="s">
        <v>1054</v>
      </c>
    </row>
    <row r="185" spans="3:5" x14ac:dyDescent="0.35">
      <c r="C185" s="11" t="s">
        <v>1014</v>
      </c>
      <c r="D185" s="78">
        <f>SUM(D179:D184)*0.6</f>
        <v>36330</v>
      </c>
      <c r="E185" t="s">
        <v>1050</v>
      </c>
    </row>
    <row r="186" spans="3:5" ht="15" thickBot="1" x14ac:dyDescent="0.4">
      <c r="C186" s="111" t="s">
        <v>984</v>
      </c>
      <c r="D186" s="98">
        <f>SUM(D180:D185)</f>
        <v>96880</v>
      </c>
    </row>
    <row r="187" spans="3:5" ht="15" thickTop="1" x14ac:dyDescent="0.35"/>
    <row r="189" spans="3:5" x14ac:dyDescent="0.35">
      <c r="C189" s="10" t="s">
        <v>469</v>
      </c>
    </row>
    <row r="190" spans="3:5" x14ac:dyDescent="0.35">
      <c r="C190" s="11" t="s">
        <v>1020</v>
      </c>
      <c r="D190" s="78">
        <f>2*12*75*2</f>
        <v>3600</v>
      </c>
      <c r="E190" t="s">
        <v>1089</v>
      </c>
    </row>
    <row r="191" spans="3:5" x14ac:dyDescent="0.35">
      <c r="C191" s="11" t="s">
        <v>1060</v>
      </c>
      <c r="D191" s="78">
        <f>2*75*10</f>
        <v>1500</v>
      </c>
      <c r="E191" t="s">
        <v>1061</v>
      </c>
    </row>
    <row r="192" spans="3:5" x14ac:dyDescent="0.35">
      <c r="C192" s="11" t="s">
        <v>1052</v>
      </c>
      <c r="D192" s="78">
        <f>1500*2</f>
        <v>3000</v>
      </c>
      <c r="E192" t="s">
        <v>1068</v>
      </c>
    </row>
    <row r="193" spans="3:5" x14ac:dyDescent="0.35">
      <c r="C193" s="11" t="s">
        <v>1026</v>
      </c>
      <c r="D193" s="78">
        <f>(5000+2500)</f>
        <v>7500</v>
      </c>
      <c r="E193" t="s">
        <v>1090</v>
      </c>
    </row>
    <row r="194" spans="3:5" x14ac:dyDescent="0.35">
      <c r="C194" s="11" t="s">
        <v>1091</v>
      </c>
      <c r="D194" s="78">
        <f>10*Rates!C34</f>
        <v>67000</v>
      </c>
      <c r="E194" t="s">
        <v>1092</v>
      </c>
    </row>
    <row r="195" spans="3:5" x14ac:dyDescent="0.35">
      <c r="C195" s="11" t="s">
        <v>1014</v>
      </c>
      <c r="D195" s="78">
        <f>SUM(D190:D194)*0.6</f>
        <v>49560</v>
      </c>
      <c r="E195" t="s">
        <v>1050</v>
      </c>
    </row>
    <row r="196" spans="3:5" ht="15" thickBot="1" x14ac:dyDescent="0.4">
      <c r="C196" s="111" t="s">
        <v>984</v>
      </c>
      <c r="D196" s="98">
        <f>SUM(D190:D195)</f>
        <v>132160</v>
      </c>
    </row>
    <row r="197" spans="3:5" ht="15" thickTop="1" x14ac:dyDescent="0.35"/>
    <row r="199" spans="3:5" x14ac:dyDescent="0.35">
      <c r="C199" s="187" t="s">
        <v>581</v>
      </c>
    </row>
    <row r="200" spans="3:5" x14ac:dyDescent="0.35">
      <c r="C200" s="11" t="s">
        <v>1020</v>
      </c>
      <c r="D200" s="78">
        <f>2*12*75*2</f>
        <v>3600</v>
      </c>
      <c r="E200" t="s">
        <v>1089</v>
      </c>
    </row>
    <row r="201" spans="3:5" x14ac:dyDescent="0.35">
      <c r="C201" s="11" t="s">
        <v>1060</v>
      </c>
      <c r="D201" s="78">
        <f>1*75*10</f>
        <v>750</v>
      </c>
      <c r="E201" t="s">
        <v>1061</v>
      </c>
    </row>
    <row r="202" spans="3:5" x14ac:dyDescent="0.35">
      <c r="C202" s="11" t="s">
        <v>1052</v>
      </c>
      <c r="D202" s="78">
        <f>1500*6</f>
        <v>9000</v>
      </c>
      <c r="E202" t="s">
        <v>1053</v>
      </c>
    </row>
    <row r="203" spans="3:5" x14ac:dyDescent="0.35">
      <c r="C203" s="11" t="s">
        <v>1024</v>
      </c>
      <c r="D203" s="78">
        <f>3500</f>
        <v>3500</v>
      </c>
      <c r="E203" t="s">
        <v>1025</v>
      </c>
    </row>
    <row r="204" spans="3:5" x14ac:dyDescent="0.35">
      <c r="C204" s="11" t="s">
        <v>1026</v>
      </c>
      <c r="D204" s="78">
        <f>2500+1500</f>
        <v>4000</v>
      </c>
      <c r="E204" t="s">
        <v>1027</v>
      </c>
    </row>
    <row r="205" spans="3:5" x14ac:dyDescent="0.35">
      <c r="C205" s="11" t="s">
        <v>1014</v>
      </c>
      <c r="D205" s="78">
        <f>SUM(D200:D204)*0.6</f>
        <v>12510</v>
      </c>
      <c r="E205" t="s">
        <v>1050</v>
      </c>
    </row>
    <row r="206" spans="3:5" ht="15" thickBot="1" x14ac:dyDescent="0.4">
      <c r="C206" s="111" t="s">
        <v>984</v>
      </c>
      <c r="D206" s="98">
        <f>SUM(D200:D205)</f>
        <v>33360</v>
      </c>
    </row>
    <row r="207" spans="3:5" ht="15" thickTop="1" x14ac:dyDescent="0.35"/>
    <row r="209" spans="3:5" x14ac:dyDescent="0.35">
      <c r="C209" s="10" t="s">
        <v>1093</v>
      </c>
    </row>
    <row r="210" spans="3:5" x14ac:dyDescent="0.35">
      <c r="C210" s="11" t="s">
        <v>1020</v>
      </c>
      <c r="D210" s="78">
        <f>2*12*75*2</f>
        <v>3600</v>
      </c>
      <c r="E210" t="s">
        <v>1094</v>
      </c>
    </row>
    <row r="211" spans="3:5" x14ac:dyDescent="0.35">
      <c r="C211" s="11" t="s">
        <v>1052</v>
      </c>
      <c r="D211" s="78">
        <f>1500*2</f>
        <v>3000</v>
      </c>
      <c r="E211" t="s">
        <v>1095</v>
      </c>
    </row>
    <row r="212" spans="3:5" x14ac:dyDescent="0.35">
      <c r="C212" s="11" t="s">
        <v>1096</v>
      </c>
      <c r="D212" s="78">
        <f>2*2500</f>
        <v>5000</v>
      </c>
      <c r="E212" t="s">
        <v>1097</v>
      </c>
    </row>
    <row r="213" spans="3:5" x14ac:dyDescent="0.35">
      <c r="C213" s="11" t="s">
        <v>1024</v>
      </c>
      <c r="D213" s="78">
        <f>2500+750</f>
        <v>3250</v>
      </c>
      <c r="E213" t="s">
        <v>1098</v>
      </c>
    </row>
    <row r="214" spans="3:5" x14ac:dyDescent="0.35">
      <c r="C214" s="11" t="s">
        <v>1026</v>
      </c>
      <c r="D214" s="78">
        <f>3500+1500</f>
        <v>5000</v>
      </c>
      <c r="E214" t="s">
        <v>1027</v>
      </c>
    </row>
    <row r="215" spans="3:5" x14ac:dyDescent="0.35">
      <c r="C215" s="11" t="s">
        <v>1014</v>
      </c>
      <c r="D215" s="78">
        <f>SUM(D209:D214)*0.6</f>
        <v>11910</v>
      </c>
      <c r="E215" t="s">
        <v>1050</v>
      </c>
    </row>
    <row r="216" spans="3:5" ht="15" thickBot="1" x14ac:dyDescent="0.4">
      <c r="C216" s="111" t="s">
        <v>984</v>
      </c>
      <c r="D216" s="98">
        <f>SUM(D210:D215)</f>
        <v>31760</v>
      </c>
    </row>
    <row r="217" spans="3:5" ht="15" thickTop="1" x14ac:dyDescent="0.35"/>
    <row r="219" spans="3:5" x14ac:dyDescent="0.35">
      <c r="C219" s="10" t="s">
        <v>1099</v>
      </c>
    </row>
    <row r="220" spans="3:5" x14ac:dyDescent="0.35">
      <c r="C220" s="11" t="s">
        <v>1020</v>
      </c>
      <c r="D220" s="78">
        <f>1*12*75*2</f>
        <v>1800</v>
      </c>
      <c r="E220" t="s">
        <v>1067</v>
      </c>
    </row>
    <row r="221" spans="3:5" x14ac:dyDescent="0.35">
      <c r="C221" s="11" t="s">
        <v>1060</v>
      </c>
      <c r="D221" s="78">
        <f>1*75*10</f>
        <v>750</v>
      </c>
      <c r="E221" t="s">
        <v>1061</v>
      </c>
    </row>
    <row r="222" spans="3:5" x14ac:dyDescent="0.35">
      <c r="C222" s="11" t="s">
        <v>1052</v>
      </c>
      <c r="D222" s="78">
        <f>1500*6</f>
        <v>9000</v>
      </c>
      <c r="E222" t="s">
        <v>1100</v>
      </c>
    </row>
    <row r="223" spans="3:5" x14ac:dyDescent="0.35">
      <c r="C223" s="11" t="s">
        <v>1096</v>
      </c>
      <c r="D223" s="78">
        <f>2*2500+3600</f>
        <v>8600</v>
      </c>
      <c r="E223" t="s">
        <v>1101</v>
      </c>
    </row>
    <row r="224" spans="3:5" x14ac:dyDescent="0.35">
      <c r="C224" s="11" t="s">
        <v>1026</v>
      </c>
      <c r="D224" s="78">
        <f>(5000+2500)</f>
        <v>7500</v>
      </c>
      <c r="E224" t="s">
        <v>1090</v>
      </c>
    </row>
    <row r="225" spans="3:5" x14ac:dyDescent="0.35">
      <c r="C225" s="11" t="s">
        <v>1102</v>
      </c>
      <c r="D225" s="78">
        <f>5000</f>
        <v>5000</v>
      </c>
      <c r="E225" t="s">
        <v>1103</v>
      </c>
    </row>
    <row r="226" spans="3:5" x14ac:dyDescent="0.35">
      <c r="C226" s="11" t="s">
        <v>1014</v>
      </c>
      <c r="D226" s="78">
        <f>SUM(D220:D225)*0.6</f>
        <v>19590</v>
      </c>
      <c r="E226" t="s">
        <v>1050</v>
      </c>
    </row>
    <row r="227" spans="3:5" ht="15" thickBot="1" x14ac:dyDescent="0.4">
      <c r="C227" s="111" t="s">
        <v>984</v>
      </c>
      <c r="D227" s="98">
        <f>SUM(D220:D226)</f>
        <v>52240</v>
      </c>
    </row>
    <row r="228" spans="3:5" ht="15" thickTop="1" x14ac:dyDescent="0.35"/>
    <row r="229" spans="3:5" x14ac:dyDescent="0.35">
      <c r="C229" s="10" t="s">
        <v>1104</v>
      </c>
    </row>
    <row r="230" spans="3:5" x14ac:dyDescent="0.35">
      <c r="C230" s="11" t="s">
        <v>1020</v>
      </c>
      <c r="D230" s="78">
        <f>75*2*12*2</f>
        <v>3600</v>
      </c>
      <c r="E230" t="s">
        <v>1021</v>
      </c>
    </row>
    <row r="231" spans="3:5" x14ac:dyDescent="0.35">
      <c r="C231" s="11" t="s">
        <v>1022</v>
      </c>
      <c r="D231" s="78">
        <v>0</v>
      </c>
      <c r="E231" t="s">
        <v>1023</v>
      </c>
    </row>
    <row r="232" spans="3:5" x14ac:dyDescent="0.35">
      <c r="C232" s="11" t="s">
        <v>1024</v>
      </c>
      <c r="D232" s="78">
        <v>0</v>
      </c>
      <c r="E232" t="s">
        <v>1025</v>
      </c>
    </row>
    <row r="233" spans="3:5" x14ac:dyDescent="0.35">
      <c r="C233" s="11" t="s">
        <v>1026</v>
      </c>
      <c r="D233" s="78">
        <v>0</v>
      </c>
      <c r="E233" t="s">
        <v>1027</v>
      </c>
    </row>
    <row r="234" spans="3:5" x14ac:dyDescent="0.35">
      <c r="C234" s="11" t="s">
        <v>1014</v>
      </c>
      <c r="D234" s="78">
        <f>SUM(D230:D233)*0.6</f>
        <v>2160</v>
      </c>
      <c r="E234" t="s">
        <v>1050</v>
      </c>
    </row>
    <row r="235" spans="3:5" ht="15" thickBot="1" x14ac:dyDescent="0.4">
      <c r="C235" s="111" t="s">
        <v>984</v>
      </c>
      <c r="D235" s="98">
        <f>SUM(D230:D234)</f>
        <v>5760</v>
      </c>
    </row>
    <row r="236" spans="3:5" ht="15" thickTop="1" x14ac:dyDescent="0.35"/>
    <row r="237" spans="3:5" x14ac:dyDescent="0.35">
      <c r="C237" s="10" t="s">
        <v>1105</v>
      </c>
    </row>
    <row r="238" spans="3:5" x14ac:dyDescent="0.35">
      <c r="C238" s="11" t="s">
        <v>1020</v>
      </c>
      <c r="D238" s="78">
        <f>1*12*75</f>
        <v>900</v>
      </c>
      <c r="E238" t="s">
        <v>1067</v>
      </c>
    </row>
    <row r="239" spans="3:5" x14ac:dyDescent="0.35">
      <c r="C239" s="11" t="s">
        <v>1060</v>
      </c>
      <c r="D239" s="78">
        <f>1*75*10</f>
        <v>750</v>
      </c>
      <c r="E239" t="s">
        <v>1061</v>
      </c>
    </row>
    <row r="240" spans="3:5" x14ac:dyDescent="0.35">
      <c r="C240" s="11" t="s">
        <v>1024</v>
      </c>
      <c r="D240" s="78">
        <f>2500*2.5</f>
        <v>6250</v>
      </c>
      <c r="E240" t="s">
        <v>1025</v>
      </c>
    </row>
    <row r="241" spans="3:5" x14ac:dyDescent="0.35">
      <c r="C241" s="11" t="s">
        <v>1026</v>
      </c>
      <c r="D241" s="78">
        <f>350*12+2500+500*1.3</f>
        <v>7350</v>
      </c>
      <c r="E241" t="s">
        <v>1106</v>
      </c>
    </row>
    <row r="242" spans="3:5" x14ac:dyDescent="0.35">
      <c r="C242" s="11" t="s">
        <v>1107</v>
      </c>
      <c r="D242" s="78">
        <f>D241</f>
        <v>7350</v>
      </c>
      <c r="E242" t="s">
        <v>1108</v>
      </c>
    </row>
    <row r="243" spans="3:5" x14ac:dyDescent="0.35">
      <c r="C243" s="11" t="s">
        <v>1018</v>
      </c>
      <c r="D243" s="78">
        <f>SUM(D238:D242)*0.8</f>
        <v>18080</v>
      </c>
      <c r="E243" t="s">
        <v>1050</v>
      </c>
    </row>
    <row r="244" spans="3:5" ht="15" thickBot="1" x14ac:dyDescent="0.4">
      <c r="C244" s="111" t="s">
        <v>984</v>
      </c>
      <c r="D244" s="98">
        <f>SUM(D238:D243)</f>
        <v>40680</v>
      </c>
    </row>
    <row r="245" spans="3:5" ht="15" thickTop="1" x14ac:dyDescent="0.35"/>
    <row r="247" spans="3:5" x14ac:dyDescent="0.35">
      <c r="C247" s="10" t="s">
        <v>587</v>
      </c>
    </row>
    <row r="248" spans="3:5" x14ac:dyDescent="0.35">
      <c r="C248" s="11" t="s">
        <v>1020</v>
      </c>
      <c r="D248" s="78">
        <f>2*12*75*2</f>
        <v>3600</v>
      </c>
      <c r="E248" t="s">
        <v>1109</v>
      </c>
    </row>
    <row r="249" spans="3:5" x14ac:dyDescent="0.35">
      <c r="C249" s="11" t="s">
        <v>1052</v>
      </c>
      <c r="D249" s="78">
        <f>1500*8</f>
        <v>12000</v>
      </c>
      <c r="E249" t="s">
        <v>1110</v>
      </c>
    </row>
    <row r="250" spans="3:5" x14ac:dyDescent="0.35">
      <c r="C250" s="11" t="s">
        <v>1111</v>
      </c>
      <c r="D250" s="78">
        <f>1*75*10</f>
        <v>750</v>
      </c>
      <c r="E250" t="s">
        <v>1061</v>
      </c>
    </row>
    <row r="251" spans="3:5" x14ac:dyDescent="0.35">
      <c r="C251" s="11" t="s">
        <v>1024</v>
      </c>
      <c r="D251" s="78">
        <f>3500</f>
        <v>3500</v>
      </c>
      <c r="E251" t="s">
        <v>1098</v>
      </c>
    </row>
    <row r="252" spans="3:5" x14ac:dyDescent="0.35">
      <c r="C252" s="11" t="s">
        <v>1026</v>
      </c>
      <c r="D252" s="78">
        <f>2500+1500</f>
        <v>4000</v>
      </c>
      <c r="E252" t="s">
        <v>1112</v>
      </c>
    </row>
    <row r="253" spans="3:5" x14ac:dyDescent="0.35">
      <c r="C253" s="11" t="s">
        <v>1018</v>
      </c>
      <c r="D253" s="78">
        <f>SUM(D248:D252)*0.8</f>
        <v>19080</v>
      </c>
      <c r="E253" t="s">
        <v>1050</v>
      </c>
    </row>
    <row r="254" spans="3:5" ht="15" thickBot="1" x14ac:dyDescent="0.4">
      <c r="C254" s="111" t="s">
        <v>984</v>
      </c>
      <c r="D254" s="98">
        <f>SUM(D248:D253)</f>
        <v>42930</v>
      </c>
    </row>
    <row r="255" spans="3:5" ht="15" thickTop="1" x14ac:dyDescent="0.35">
      <c r="C255" s="10"/>
      <c r="D255" s="158"/>
    </row>
    <row r="256" spans="3:5" x14ac:dyDescent="0.35">
      <c r="C256" s="6" t="s">
        <v>1113</v>
      </c>
      <c r="D256" s="158">
        <f>D13+D28+D35+D43+D65+D74+D93+D99+D108+D118+D137+D147+D158+D175+D185+D195+D205+D215+D226+D243+D253+D59</f>
        <v>624559.74</v>
      </c>
      <c r="E256" t="s">
        <v>1114</v>
      </c>
    </row>
    <row r="257" spans="3:5" x14ac:dyDescent="0.35">
      <c r="C257" s="6" t="s">
        <v>1115</v>
      </c>
      <c r="D257" s="158">
        <f>D14+D29+D36+D44+D66+D75+D94+D100+D109+D119+D138+D148+D159+D176+D186+D196+D206+D216+D227+D244+D254+D60+D129+D21+D52+D84+D168+D235</f>
        <v>2769398.44</v>
      </c>
      <c r="E257" t="s">
        <v>1116</v>
      </c>
    </row>
  </sheetData>
  <sheetProtection algorithmName="SHA-512" hashValue="I5Yin/r9Vl0ZNyyvE1rSgGvNm/TLRtf2JX66NL+hK6oR3zj03WcsgYF+obMrmG92pjxAbo5mSlkE+nkfqQaIxg==" saltValue="LhqZ398h2XWWPTYXPibiKA==" spinCount="100000" sheet="1" objects="1" scenarios="1"/>
  <phoneticPr fontId="1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89A96-D5B3-490E-A939-72237D076419}">
  <dimension ref="A1:N84"/>
  <sheetViews>
    <sheetView workbookViewId="0">
      <selection activeCell="L84" sqref="L84"/>
    </sheetView>
  </sheetViews>
  <sheetFormatPr defaultRowHeight="14.5" x14ac:dyDescent="0.35"/>
  <cols>
    <col min="1" max="1" width="22.26953125" style="1" customWidth="1"/>
    <col min="2" max="2" width="19.26953125" style="1" customWidth="1"/>
    <col min="3" max="3" width="5" style="1" customWidth="1"/>
    <col min="4" max="4" width="15.26953125" style="1" bestFit="1" customWidth="1"/>
    <col min="5" max="5" width="0" hidden="1" customWidth="1"/>
    <col min="6" max="6" width="12.54296875" hidden="1" customWidth="1"/>
    <col min="7" max="7" width="0" hidden="1" customWidth="1"/>
    <col min="8" max="8" width="11.54296875" hidden="1" customWidth="1"/>
    <col min="9" max="9" width="6.7265625" style="2" customWidth="1"/>
    <col min="10" max="10" width="12.1796875" customWidth="1"/>
    <col min="11" max="11" width="10.7265625" bestFit="1" customWidth="1"/>
    <col min="12" max="12" width="39.81640625" customWidth="1"/>
    <col min="14" max="14" width="11.54296875" bestFit="1" customWidth="1"/>
  </cols>
  <sheetData>
    <row r="1" spans="1:12" x14ac:dyDescent="0.35">
      <c r="A1" s="43" t="s">
        <v>1117</v>
      </c>
      <c r="B1" s="43"/>
      <c r="E1" s="1"/>
      <c r="F1" s="1"/>
      <c r="G1" s="1"/>
      <c r="H1" s="1"/>
      <c r="J1" s="1"/>
      <c r="K1" s="1"/>
      <c r="L1" s="1"/>
    </row>
    <row r="2" spans="1:12" x14ac:dyDescent="0.35">
      <c r="A2" s="43"/>
      <c r="B2" s="43"/>
      <c r="E2" s="1"/>
      <c r="F2" s="1"/>
      <c r="G2" s="1"/>
      <c r="H2" s="1"/>
      <c r="J2" s="1"/>
      <c r="K2" s="1"/>
      <c r="L2" s="1"/>
    </row>
    <row r="3" spans="1:12" x14ac:dyDescent="0.35">
      <c r="A3" s="119" t="s">
        <v>1118</v>
      </c>
      <c r="B3" s="119" t="s">
        <v>4</v>
      </c>
      <c r="C3" s="119" t="s">
        <v>1119</v>
      </c>
      <c r="D3" s="79" t="s">
        <v>1120</v>
      </c>
      <c r="E3" s="79" t="s">
        <v>1121</v>
      </c>
      <c r="F3" s="79" t="s">
        <v>1122</v>
      </c>
      <c r="G3" s="79" t="s">
        <v>286</v>
      </c>
      <c r="H3" s="79" t="s">
        <v>1123</v>
      </c>
      <c r="I3" s="79" t="s">
        <v>1124</v>
      </c>
      <c r="J3" s="79" t="s">
        <v>1125</v>
      </c>
      <c r="K3" s="130" t="s">
        <v>1126</v>
      </c>
      <c r="L3" s="120" t="s">
        <v>844</v>
      </c>
    </row>
    <row r="4" spans="1:12" x14ac:dyDescent="0.35">
      <c r="A4" s="131" t="s">
        <v>1127</v>
      </c>
      <c r="B4" s="131" t="s">
        <v>1128</v>
      </c>
      <c r="C4" s="131">
        <v>2017</v>
      </c>
      <c r="D4" s="132">
        <f>(1278312-294165)/2+(166161-16000)/2</f>
        <v>567154</v>
      </c>
      <c r="E4" s="47">
        <v>20</v>
      </c>
      <c r="F4" s="47" t="s">
        <v>1129</v>
      </c>
      <c r="G4" s="47" t="s">
        <v>1129</v>
      </c>
      <c r="H4" s="133">
        <f>D4/2/20</f>
        <v>14178.85</v>
      </c>
      <c r="I4" s="47">
        <f>15*9</f>
        <v>135</v>
      </c>
      <c r="J4" s="133">
        <f>D6/(I4)</f>
        <v>5349.2888888888892</v>
      </c>
      <c r="K4" s="2">
        <f>I4/(E4+2)</f>
        <v>6.1363636363636367</v>
      </c>
      <c r="L4" s="1" t="s">
        <v>1130</v>
      </c>
    </row>
    <row r="5" spans="1:12" x14ac:dyDescent="0.35">
      <c r="B5" s="131" t="s">
        <v>1131</v>
      </c>
      <c r="C5" s="131"/>
      <c r="D5" s="132">
        <f>(294000+16000)/2</f>
        <v>155000</v>
      </c>
      <c r="E5" s="47"/>
      <c r="F5" s="47"/>
      <c r="G5" s="47"/>
      <c r="H5" s="137"/>
      <c r="J5" s="115"/>
      <c r="K5" s="1"/>
      <c r="L5" s="1"/>
    </row>
    <row r="6" spans="1:12" x14ac:dyDescent="0.35">
      <c r="B6" s="131" t="s">
        <v>1132</v>
      </c>
      <c r="C6" s="131"/>
      <c r="D6" s="133">
        <f>SUM(D4:D5)</f>
        <v>722154</v>
      </c>
      <c r="E6" s="134"/>
      <c r="F6" s="134"/>
      <c r="G6" s="134"/>
      <c r="H6" s="138"/>
      <c r="J6" s="1"/>
      <c r="K6" s="1"/>
      <c r="L6" s="1"/>
    </row>
    <row r="7" spans="1:12" x14ac:dyDescent="0.35">
      <c r="D7" s="115"/>
      <c r="E7" s="1"/>
      <c r="F7" s="1"/>
      <c r="G7" s="1"/>
      <c r="H7" s="1"/>
      <c r="J7" s="1"/>
      <c r="K7" s="1"/>
      <c r="L7" s="1"/>
    </row>
    <row r="8" spans="1:12" x14ac:dyDescent="0.35">
      <c r="B8" s="131" t="s">
        <v>1133</v>
      </c>
      <c r="C8" s="131">
        <v>2023</v>
      </c>
      <c r="D8" s="133">
        <f>D29</f>
        <v>881280.54167881771</v>
      </c>
      <c r="E8" s="131"/>
      <c r="F8" s="131"/>
      <c r="G8" s="131"/>
      <c r="H8" s="131"/>
      <c r="I8" s="47">
        <f>15*9</f>
        <v>135</v>
      </c>
      <c r="J8" s="133">
        <f>D10/(I8)</f>
        <v>8410.9669753986491</v>
      </c>
      <c r="K8" s="1"/>
      <c r="L8" s="1"/>
    </row>
    <row r="9" spans="1:12" x14ac:dyDescent="0.35">
      <c r="B9" s="131" t="s">
        <v>1134</v>
      </c>
      <c r="C9" s="135"/>
      <c r="D9" s="136">
        <f>D5*1.64</f>
        <v>254199.99999999997</v>
      </c>
      <c r="E9" s="135"/>
      <c r="F9" s="135"/>
      <c r="G9" s="135"/>
      <c r="H9" s="140"/>
      <c r="J9" s="1"/>
      <c r="K9" s="1"/>
      <c r="L9" s="1"/>
    </row>
    <row r="10" spans="1:12" x14ac:dyDescent="0.35">
      <c r="B10" s="131" t="s">
        <v>1135</v>
      </c>
      <c r="C10" s="131"/>
      <c r="D10" s="133">
        <f>SUM(D8:D9)</f>
        <v>1135480.5416788177</v>
      </c>
      <c r="E10" s="131"/>
      <c r="F10" s="131"/>
      <c r="G10" s="131"/>
      <c r="H10" s="139"/>
      <c r="J10" s="1"/>
      <c r="K10" s="1"/>
      <c r="L10" s="1"/>
    </row>
    <row r="11" spans="1:12" x14ac:dyDescent="0.35">
      <c r="D11" s="115"/>
    </row>
    <row r="12" spans="1:12" x14ac:dyDescent="0.35">
      <c r="A12" s="1" t="s">
        <v>1136</v>
      </c>
      <c r="D12" s="115"/>
    </row>
    <row r="13" spans="1:12" x14ac:dyDescent="0.35">
      <c r="A13" s="119" t="s">
        <v>1118</v>
      </c>
      <c r="B13" s="119" t="s">
        <v>4</v>
      </c>
      <c r="C13" s="119" t="s">
        <v>1119</v>
      </c>
      <c r="D13" s="79" t="s">
        <v>1120</v>
      </c>
      <c r="E13" s="79" t="s">
        <v>1121</v>
      </c>
      <c r="F13" s="79" t="s">
        <v>1122</v>
      </c>
      <c r="G13" s="79" t="s">
        <v>286</v>
      </c>
      <c r="H13" s="79" t="s">
        <v>1123</v>
      </c>
      <c r="I13" s="79" t="s">
        <v>1124</v>
      </c>
      <c r="J13" s="79" t="s">
        <v>1125</v>
      </c>
    </row>
    <row r="14" spans="1:12" x14ac:dyDescent="0.35">
      <c r="A14" s="131" t="s">
        <v>1137</v>
      </c>
      <c r="B14" s="131" t="s">
        <v>1128</v>
      </c>
      <c r="C14" s="131">
        <v>2017</v>
      </c>
      <c r="D14" s="132">
        <f>(1278312-294165)+(166161-16000)</f>
        <v>1134308</v>
      </c>
      <c r="E14" s="47">
        <v>20</v>
      </c>
      <c r="F14" s="47" t="s">
        <v>1129</v>
      </c>
      <c r="G14" s="47" t="s">
        <v>1129</v>
      </c>
      <c r="H14" s="133">
        <f>D14/2/20</f>
        <v>28357.7</v>
      </c>
      <c r="I14" s="47">
        <f>15*9*2</f>
        <v>270</v>
      </c>
      <c r="J14" s="133">
        <f>D16/(I14)</f>
        <v>5349.2888888888892</v>
      </c>
    </row>
    <row r="15" spans="1:12" x14ac:dyDescent="0.35">
      <c r="A15" s="131"/>
      <c r="B15" s="131" t="s">
        <v>1131</v>
      </c>
      <c r="C15" s="131"/>
      <c r="D15" s="132">
        <f>(294000+16000)</f>
        <v>310000</v>
      </c>
      <c r="E15" s="47"/>
      <c r="F15" s="47"/>
      <c r="G15" s="47"/>
      <c r="H15" s="133"/>
      <c r="I15" s="47"/>
      <c r="J15" s="133"/>
    </row>
    <row r="16" spans="1:12" x14ac:dyDescent="0.35">
      <c r="A16" s="131"/>
      <c r="B16" s="131" t="s">
        <v>1132</v>
      </c>
      <c r="C16" s="131"/>
      <c r="D16" s="133">
        <f>SUM(D14:D15)</f>
        <v>1444308</v>
      </c>
      <c r="E16" s="131"/>
      <c r="F16" s="131"/>
      <c r="G16" s="131"/>
      <c r="H16" s="131"/>
      <c r="I16" s="47"/>
      <c r="J16" s="131"/>
    </row>
    <row r="17" spans="1:10" x14ac:dyDescent="0.35">
      <c r="A17" s="131"/>
      <c r="B17" s="131"/>
      <c r="C17" s="131"/>
      <c r="D17" s="133"/>
      <c r="E17" s="131"/>
      <c r="F17" s="131"/>
      <c r="G17" s="131"/>
      <c r="H17" s="131"/>
      <c r="I17" s="47"/>
      <c r="J17" s="131"/>
    </row>
    <row r="18" spans="1:10" x14ac:dyDescent="0.35">
      <c r="A18" s="131"/>
      <c r="B18" s="131" t="s">
        <v>1133</v>
      </c>
      <c r="C18" s="131">
        <v>2023</v>
      </c>
      <c r="D18" s="133">
        <f>D29*2</f>
        <v>1762561.0833576354</v>
      </c>
      <c r="E18" s="131"/>
      <c r="F18" s="131"/>
      <c r="G18" s="131"/>
      <c r="H18" s="131"/>
      <c r="I18" s="47">
        <f>I14</f>
        <v>270</v>
      </c>
      <c r="J18" s="133">
        <f>D20/(I18)</f>
        <v>8410.9669753986491</v>
      </c>
    </row>
    <row r="19" spans="1:10" x14ac:dyDescent="0.35">
      <c r="A19" s="131"/>
      <c r="B19" s="131" t="s">
        <v>1134</v>
      </c>
      <c r="C19" s="131"/>
      <c r="D19" s="133">
        <f>D9*2</f>
        <v>508399.99999999994</v>
      </c>
      <c r="E19" s="131"/>
      <c r="F19" s="131"/>
      <c r="G19" s="131"/>
      <c r="H19" s="131"/>
      <c r="I19" s="47"/>
      <c r="J19" s="131"/>
    </row>
    <row r="20" spans="1:10" x14ac:dyDescent="0.35">
      <c r="A20" s="131"/>
      <c r="B20" s="131" t="s">
        <v>1135</v>
      </c>
      <c r="C20" s="131"/>
      <c r="D20" s="133">
        <f>SUM(D18:D19)</f>
        <v>2270961.0833576354</v>
      </c>
      <c r="E20" s="131"/>
      <c r="F20" s="131"/>
      <c r="G20" s="131"/>
      <c r="H20" s="131"/>
      <c r="I20" s="47"/>
      <c r="J20" s="131"/>
    </row>
    <row r="21" spans="1:10" x14ac:dyDescent="0.35">
      <c r="D21" s="115"/>
    </row>
    <row r="22" spans="1:10" ht="15" thickBot="1" x14ac:dyDescent="0.4">
      <c r="D22" s="124">
        <f>D4</f>
        <v>567154</v>
      </c>
    </row>
    <row r="23" spans="1:10" ht="15" thickTop="1" x14ac:dyDescent="0.35">
      <c r="A23" s="1" t="s">
        <v>1138</v>
      </c>
      <c r="D23" s="115">
        <f>D22*1.04</f>
        <v>589840.16</v>
      </c>
      <c r="F23" s="89">
        <f>D22*1.46</f>
        <v>828044.84</v>
      </c>
    </row>
    <row r="24" spans="1:10" x14ac:dyDescent="0.35">
      <c r="A24" s="1" t="s">
        <v>1139</v>
      </c>
      <c r="D24" s="115">
        <f>D23*1.04</f>
        <v>613433.76640000008</v>
      </c>
    </row>
    <row r="25" spans="1:10" x14ac:dyDescent="0.35">
      <c r="A25" s="1" t="s">
        <v>1140</v>
      </c>
      <c r="D25" s="115">
        <f>D24*1.04</f>
        <v>637971.11705600016</v>
      </c>
    </row>
    <row r="26" spans="1:10" x14ac:dyDescent="0.35">
      <c r="A26" s="1" t="s">
        <v>1141</v>
      </c>
      <c r="D26" s="115">
        <f t="shared" ref="D26" si="0">D25*1.04</f>
        <v>663489.96173824021</v>
      </c>
    </row>
    <row r="27" spans="1:10" x14ac:dyDescent="0.35">
      <c r="A27" s="1" t="s">
        <v>1142</v>
      </c>
      <c r="D27" s="115">
        <f>D26*1.05</f>
        <v>696664.4598251523</v>
      </c>
    </row>
    <row r="28" spans="1:10" x14ac:dyDescent="0.35">
      <c r="A28" s="1" t="s">
        <v>1143</v>
      </c>
      <c r="D28" s="115">
        <f>D27*1.15</f>
        <v>801164.12879892508</v>
      </c>
    </row>
    <row r="29" spans="1:10" ht="15" thickBot="1" x14ac:dyDescent="0.4">
      <c r="A29" s="83" t="s">
        <v>1144</v>
      </c>
      <c r="B29" s="83"/>
      <c r="C29" s="83"/>
      <c r="D29" s="125">
        <f>D28*1.1</f>
        <v>881280.54167881771</v>
      </c>
    </row>
    <row r="30" spans="1:10" ht="15" thickTop="1" x14ac:dyDescent="0.35">
      <c r="A30" s="43"/>
      <c r="B30" s="43"/>
      <c r="C30" s="43"/>
      <c r="D30" s="126"/>
    </row>
    <row r="31" spans="1:10" x14ac:dyDescent="0.35">
      <c r="A31" s="43" t="s">
        <v>1145</v>
      </c>
      <c r="B31" s="43"/>
      <c r="C31" s="43"/>
      <c r="D31" s="126">
        <f>F62/2</f>
        <v>254199.99999999997</v>
      </c>
    </row>
    <row r="32" spans="1:10" x14ac:dyDescent="0.35">
      <c r="A32" s="43"/>
      <c r="B32" s="43"/>
      <c r="C32" s="43"/>
      <c r="D32" s="126"/>
    </row>
    <row r="33" spans="1:5" x14ac:dyDescent="0.35">
      <c r="D33" s="115">
        <f>D29+D31</f>
        <v>1135480.5416788177</v>
      </c>
    </row>
    <row r="34" spans="1:5" x14ac:dyDescent="0.35">
      <c r="D34" s="115"/>
    </row>
    <row r="35" spans="1:5" x14ac:dyDescent="0.35">
      <c r="D35" s="115"/>
    </row>
    <row r="36" spans="1:5" x14ac:dyDescent="0.35">
      <c r="D36" s="115"/>
    </row>
    <row r="37" spans="1:5" x14ac:dyDescent="0.35">
      <c r="A37" s="77" t="s">
        <v>1146</v>
      </c>
      <c r="B37" s="77"/>
      <c r="C37" s="42"/>
      <c r="D37" s="78"/>
    </row>
    <row r="38" spans="1:5" x14ac:dyDescent="0.35">
      <c r="A38" s="79" t="s">
        <v>1119</v>
      </c>
      <c r="B38" s="79"/>
      <c r="C38" s="79"/>
      <c r="D38" s="127" t="s">
        <v>1147</v>
      </c>
    </row>
    <row r="39" spans="1:5" x14ac:dyDescent="0.35">
      <c r="A39" s="47" t="s">
        <v>1148</v>
      </c>
      <c r="B39" s="47"/>
      <c r="C39" s="79"/>
      <c r="D39" s="128">
        <v>0.04</v>
      </c>
      <c r="E39" t="s">
        <v>784</v>
      </c>
    </row>
    <row r="40" spans="1:5" x14ac:dyDescent="0.35">
      <c r="A40" s="47" t="s">
        <v>783</v>
      </c>
      <c r="B40" s="47"/>
      <c r="C40" s="79"/>
      <c r="D40" s="128">
        <v>0.04</v>
      </c>
      <c r="E40" t="s">
        <v>784</v>
      </c>
    </row>
    <row r="41" spans="1:5" x14ac:dyDescent="0.35">
      <c r="A41" s="47" t="s">
        <v>785</v>
      </c>
      <c r="B41" s="47"/>
      <c r="C41" s="47"/>
      <c r="D41" s="128">
        <v>0.04</v>
      </c>
      <c r="E41" t="s">
        <v>784</v>
      </c>
    </row>
    <row r="42" spans="1:5" x14ac:dyDescent="0.35">
      <c r="A42" s="47" t="s">
        <v>786</v>
      </c>
      <c r="B42" s="47"/>
      <c r="C42" s="47"/>
      <c r="D42" s="128">
        <v>3.5000000000000003E-2</v>
      </c>
      <c r="E42" t="s">
        <v>784</v>
      </c>
    </row>
    <row r="43" spans="1:5" x14ac:dyDescent="0.35">
      <c r="A43" s="47" t="s">
        <v>787</v>
      </c>
      <c r="B43" s="47"/>
      <c r="C43" s="47"/>
      <c r="D43" s="128">
        <v>0.05</v>
      </c>
      <c r="E43" t="s">
        <v>784</v>
      </c>
    </row>
    <row r="44" spans="1:5" x14ac:dyDescent="0.35">
      <c r="A44" s="47" t="s">
        <v>788</v>
      </c>
      <c r="B44" s="47"/>
      <c r="C44" s="47"/>
      <c r="D44" s="128">
        <v>0.15</v>
      </c>
      <c r="E44" t="s">
        <v>784</v>
      </c>
    </row>
    <row r="45" spans="1:5" x14ac:dyDescent="0.35">
      <c r="A45" s="47" t="s">
        <v>789</v>
      </c>
      <c r="B45" s="47"/>
      <c r="C45" s="47"/>
      <c r="D45" s="128">
        <v>0.1</v>
      </c>
      <c r="E45" t="s">
        <v>790</v>
      </c>
    </row>
    <row r="46" spans="1:5" x14ac:dyDescent="0.35">
      <c r="A46" s="79" t="s">
        <v>808</v>
      </c>
      <c r="B46" s="47"/>
      <c r="C46" s="47"/>
      <c r="D46" s="129">
        <f>SUM(D39:D45)</f>
        <v>0.45499999999999996</v>
      </c>
    </row>
    <row r="48" spans="1:5" x14ac:dyDescent="0.35">
      <c r="A48" s="1" t="s">
        <v>1149</v>
      </c>
    </row>
    <row r="49" spans="1:12" x14ac:dyDescent="0.35">
      <c r="A49" s="117">
        <f>4500/2000-100%</f>
        <v>1.25</v>
      </c>
      <c r="B49" s="117"/>
    </row>
    <row r="51" spans="1:12" x14ac:dyDescent="0.35">
      <c r="D51" s="118">
        <f>D4*2.125/2</f>
        <v>602601.125</v>
      </c>
      <c r="I51" s="2">
        <v>135</v>
      </c>
      <c r="J51" s="89">
        <f>D51/I51</f>
        <v>4463.7120370370367</v>
      </c>
    </row>
    <row r="53" spans="1:12" x14ac:dyDescent="0.35">
      <c r="A53" s="1" t="s">
        <v>1150</v>
      </c>
      <c r="E53" s="2">
        <v>30</v>
      </c>
      <c r="F53" s="114" t="s">
        <v>68</v>
      </c>
      <c r="I53" s="2">
        <f>16*10</f>
        <v>160</v>
      </c>
      <c r="K53">
        <f>I53/E53</f>
        <v>5.333333333333333</v>
      </c>
    </row>
    <row r="54" spans="1:12" x14ac:dyDescent="0.35">
      <c r="A54" s="1" t="s">
        <v>1151</v>
      </c>
      <c r="E54" s="2">
        <v>4</v>
      </c>
      <c r="I54" s="2">
        <f>8*6</f>
        <v>48</v>
      </c>
      <c r="K54">
        <f>I54/E54</f>
        <v>12</v>
      </c>
      <c r="L54">
        <f>(I53+I54)/34</f>
        <v>6.117647058823529</v>
      </c>
    </row>
    <row r="56" spans="1:12" x14ac:dyDescent="0.35">
      <c r="I56" s="2">
        <f>18*11</f>
        <v>198</v>
      </c>
      <c r="K56">
        <f>40*K53</f>
        <v>213.33333333333331</v>
      </c>
    </row>
    <row r="57" spans="1:12" x14ac:dyDescent="0.35">
      <c r="I57" s="2">
        <f>20*12</f>
        <v>240</v>
      </c>
      <c r="K57">
        <f>40*K4</f>
        <v>245.45454545454547</v>
      </c>
    </row>
    <row r="60" spans="1:12" x14ac:dyDescent="0.35">
      <c r="A60" s="1" t="s">
        <v>1152</v>
      </c>
    </row>
    <row r="61" spans="1:12" x14ac:dyDescent="0.35">
      <c r="A61" s="1">
        <v>2017</v>
      </c>
      <c r="D61" s="4">
        <v>2200</v>
      </c>
      <c r="F61" s="78">
        <f>294000+16000</f>
        <v>310000</v>
      </c>
      <c r="G61">
        <v>2017</v>
      </c>
    </row>
    <row r="62" spans="1:12" x14ac:dyDescent="0.35">
      <c r="A62" s="1">
        <v>2023</v>
      </c>
      <c r="D62" s="4">
        <v>3600</v>
      </c>
      <c r="F62" s="89">
        <f>F61*1.64</f>
        <v>508399.99999999994</v>
      </c>
      <c r="G62">
        <v>2023</v>
      </c>
    </row>
    <row r="63" spans="1:12" x14ac:dyDescent="0.35">
      <c r="A63" s="1" t="s">
        <v>1153</v>
      </c>
      <c r="D63" s="123">
        <f>D62/D61-1</f>
        <v>0.63636363636363646</v>
      </c>
    </row>
    <row r="65" spans="1:14" x14ac:dyDescent="0.35">
      <c r="A65" s="1" t="s">
        <v>1154</v>
      </c>
    </row>
    <row r="66" spans="1:14" x14ac:dyDescent="0.35">
      <c r="A66" s="1">
        <v>2017</v>
      </c>
      <c r="D66" s="4">
        <v>55</v>
      </c>
    </row>
    <row r="67" spans="1:14" x14ac:dyDescent="0.35">
      <c r="A67" s="1">
        <v>2023</v>
      </c>
      <c r="D67" s="4">
        <v>75</v>
      </c>
    </row>
    <row r="68" spans="1:14" x14ac:dyDescent="0.35">
      <c r="D68" s="123">
        <f>D67/D66-1</f>
        <v>0.36363636363636354</v>
      </c>
    </row>
    <row r="72" spans="1:14" x14ac:dyDescent="0.35">
      <c r="A72" s="44" t="s">
        <v>1118</v>
      </c>
      <c r="B72" s="44" t="s">
        <v>1155</v>
      </c>
      <c r="C72" s="79" t="s">
        <v>1119</v>
      </c>
      <c r="D72" s="79" t="s">
        <v>1120</v>
      </c>
      <c r="E72" s="79" t="s">
        <v>1121</v>
      </c>
      <c r="F72" s="79" t="s">
        <v>1122</v>
      </c>
      <c r="G72" s="79" t="s">
        <v>286</v>
      </c>
      <c r="H72" s="79" t="s">
        <v>1123</v>
      </c>
      <c r="I72" s="79" t="s">
        <v>1124</v>
      </c>
      <c r="J72" s="79" t="s">
        <v>1125</v>
      </c>
      <c r="K72" s="79" t="s">
        <v>1126</v>
      </c>
      <c r="L72" s="10" t="s">
        <v>844</v>
      </c>
    </row>
    <row r="73" spans="1:14" x14ac:dyDescent="0.35">
      <c r="A73" s="45" t="s">
        <v>1156</v>
      </c>
      <c r="B73" s="45" t="s">
        <v>1157</v>
      </c>
      <c r="C73" s="47">
        <v>2017</v>
      </c>
      <c r="D73" s="143">
        <f>D6</f>
        <v>722154</v>
      </c>
      <c r="E73" s="47"/>
      <c r="F73" s="47"/>
      <c r="G73" s="47"/>
      <c r="H73" s="47"/>
      <c r="I73" s="47">
        <v>135</v>
      </c>
      <c r="J73" s="143">
        <f>D73/I73</f>
        <v>5349.2888888888892</v>
      </c>
      <c r="K73" s="141">
        <f>I73/24</f>
        <v>5.625</v>
      </c>
      <c r="L73" s="11" t="s">
        <v>1158</v>
      </c>
      <c r="N73" s="89">
        <f>D73/24</f>
        <v>30089.75</v>
      </c>
    </row>
    <row r="74" spans="1:14" x14ac:dyDescent="0.35">
      <c r="A74" s="45" t="s">
        <v>1159</v>
      </c>
      <c r="B74" s="45" t="s">
        <v>1157</v>
      </c>
      <c r="C74" s="47">
        <v>2021</v>
      </c>
      <c r="D74" s="142">
        <v>3400000</v>
      </c>
      <c r="E74" s="47">
        <v>20</v>
      </c>
      <c r="F74" s="47" t="s">
        <v>1129</v>
      </c>
      <c r="G74" s="47" t="s">
        <v>1129</v>
      </c>
      <c r="H74" s="143">
        <f>D74/2/20</f>
        <v>85000</v>
      </c>
      <c r="I74" s="47">
        <v>220</v>
      </c>
      <c r="J74" s="143">
        <f>D74/I74</f>
        <v>15454.545454545454</v>
      </c>
      <c r="K74" s="141">
        <f>I74/40</f>
        <v>5.5</v>
      </c>
      <c r="L74" s="1" t="s">
        <v>1160</v>
      </c>
    </row>
    <row r="75" spans="1:14" x14ac:dyDescent="0.35">
      <c r="B75" s="11"/>
      <c r="C75" s="2"/>
      <c r="D75" s="3" t="s">
        <v>1161</v>
      </c>
      <c r="E75" s="2"/>
      <c r="F75" s="2"/>
      <c r="G75" s="2"/>
      <c r="H75" s="2"/>
      <c r="J75" s="95">
        <f>SUM(J73:J74)/2</f>
        <v>10401.917171717172</v>
      </c>
      <c r="K75" s="145"/>
      <c r="L75" s="1"/>
    </row>
    <row r="76" spans="1:14" x14ac:dyDescent="0.35">
      <c r="A76" s="45" t="s">
        <v>1162</v>
      </c>
      <c r="B76" s="45" t="s">
        <v>1163</v>
      </c>
      <c r="C76" s="47">
        <v>2023</v>
      </c>
      <c r="D76" s="142">
        <v>2200000</v>
      </c>
      <c r="E76" s="47"/>
      <c r="F76" s="47"/>
      <c r="G76" s="47"/>
      <c r="H76" s="47"/>
      <c r="I76" s="47">
        <v>200</v>
      </c>
      <c r="J76" s="143">
        <f>D76/I76</f>
        <v>11000</v>
      </c>
      <c r="K76" s="141">
        <f>I76/36</f>
        <v>5.5555555555555554</v>
      </c>
      <c r="L76" t="s">
        <v>1164</v>
      </c>
    </row>
    <row r="77" spans="1:14" x14ac:dyDescent="0.35">
      <c r="B77" s="11" t="s">
        <v>68</v>
      </c>
      <c r="C77" s="2"/>
      <c r="D77" s="3" t="s">
        <v>1165</v>
      </c>
      <c r="E77" s="2"/>
      <c r="F77" s="2"/>
      <c r="G77" s="2"/>
      <c r="H77" s="2"/>
      <c r="J77" s="95">
        <f>J76*0.4</f>
        <v>4400</v>
      </c>
      <c r="K77" s="145"/>
    </row>
    <row r="78" spans="1:14" x14ac:dyDescent="0.35">
      <c r="B78" s="11"/>
      <c r="C78" s="2"/>
      <c r="D78" s="3" t="s">
        <v>1166</v>
      </c>
      <c r="E78" s="2"/>
      <c r="F78" s="2"/>
      <c r="G78" s="2"/>
      <c r="H78" s="2"/>
      <c r="J78" s="95">
        <f>J76+J77</f>
        <v>15400</v>
      </c>
      <c r="K78" s="145"/>
    </row>
    <row r="79" spans="1:14" x14ac:dyDescent="0.35">
      <c r="A79" s="45" t="s">
        <v>1167</v>
      </c>
      <c r="B79" s="45" t="s">
        <v>1168</v>
      </c>
      <c r="C79" s="47">
        <v>2023</v>
      </c>
      <c r="D79" s="142">
        <f>I79*J79</f>
        <v>2079000</v>
      </c>
      <c r="E79" s="47"/>
      <c r="F79" s="47"/>
      <c r="G79" s="47"/>
      <c r="H79" s="47"/>
      <c r="I79" s="47">
        <v>135</v>
      </c>
      <c r="J79" s="142">
        <f>J78</f>
        <v>15400</v>
      </c>
      <c r="K79" s="141">
        <f>K73</f>
        <v>5.625</v>
      </c>
    </row>
    <row r="80" spans="1:14" x14ac:dyDescent="0.35">
      <c r="A80" s="45" t="s">
        <v>1167</v>
      </c>
      <c r="B80" s="45" t="s">
        <v>1169</v>
      </c>
      <c r="C80" s="47">
        <v>2023</v>
      </c>
      <c r="D80" s="143">
        <f>I80*J80</f>
        <v>3388000</v>
      </c>
      <c r="E80" s="47"/>
      <c r="F80" s="47"/>
      <c r="G80" s="47"/>
      <c r="H80" s="47"/>
      <c r="I80" s="47">
        <v>220</v>
      </c>
      <c r="J80" s="142">
        <f>J78</f>
        <v>15400</v>
      </c>
      <c r="K80" s="47">
        <v>5.5</v>
      </c>
      <c r="M80">
        <f>44*5.5</f>
        <v>242</v>
      </c>
    </row>
    <row r="83" spans="1:10" x14ac:dyDescent="0.35">
      <c r="A83" s="1" t="s">
        <v>1170</v>
      </c>
    </row>
    <row r="84" spans="1:10" x14ac:dyDescent="0.35">
      <c r="B84" s="1">
        <v>4</v>
      </c>
      <c r="D84" s="1">
        <v>50000</v>
      </c>
      <c r="J84" s="78">
        <f>D84/B84</f>
        <v>12500</v>
      </c>
    </row>
  </sheetData>
  <sheetProtection algorithmName="SHA-512" hashValue="RlCJ02k/shCK2d5OX5xqjZtwlAbt3jmYOttgahudLcjKtMQnPmx980AYZ/Zarjfng++Bcr9vexP1C4KKs5Eoeg==" saltValue="plrEkFS+wIr7dIp1Us98V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EE0DFE9E795346B3FF290C539D54BD" ma:contentTypeVersion="15" ma:contentTypeDescription="Create a new document." ma:contentTypeScope="" ma:versionID="5731989f97378cd80ab459a89371c3af">
  <xsd:schema xmlns:xsd="http://www.w3.org/2001/XMLSchema" xmlns:xs="http://www.w3.org/2001/XMLSchema" xmlns:p="http://schemas.microsoft.com/office/2006/metadata/properties" xmlns:ns2="67d82efc-258c-4573-8306-bb638674d0f4" xmlns:ns3="22324d86-e374-4627-a11e-fc613a9064fc" targetNamespace="http://schemas.microsoft.com/office/2006/metadata/properties" ma:root="true" ma:fieldsID="847f3c5cb76a4b5a836b2444a7dd3f66" ns2:_="" ns3:_="">
    <xsd:import namespace="67d82efc-258c-4573-8306-bb638674d0f4"/>
    <xsd:import namespace="22324d86-e374-4627-a11e-fc613a9064f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82efc-258c-4573-8306-bb638674d0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3a8d114-42e4-48f3-a9b0-182603090d65"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324d86-e374-4627-a11e-fc613a9064f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46a9e7a1-d11d-4a0b-98ea-74839fbae096}" ma:internalName="TaxCatchAll" ma:showField="CatchAllData" ma:web="22324d86-e374-4627-a11e-fc613a9064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2324d86-e374-4627-a11e-fc613a9064fc" xsi:nil="true"/>
    <lcf76f155ced4ddcb4097134ff3c332f xmlns="67d82efc-258c-4573-8306-bb638674d0f4">
      <Terms xmlns="http://schemas.microsoft.com/office/infopath/2007/PartnerControls"/>
    </lcf76f155ced4ddcb4097134ff3c332f>
    <Comments xmlns="67d82efc-258c-4573-8306-bb638674d0f4" xsi:nil="true"/>
    <SharedWithUsers xmlns="22324d86-e374-4627-a11e-fc613a9064fc">
      <UserInfo>
        <DisplayName/>
        <AccountId xsi:nil="true"/>
        <AccountType/>
      </UserInfo>
    </SharedWithUsers>
  </documentManagement>
</p:properties>
</file>

<file path=customXml/itemProps1.xml><?xml version="1.0" encoding="utf-8"?>
<ds:datastoreItem xmlns:ds="http://schemas.openxmlformats.org/officeDocument/2006/customXml" ds:itemID="{D5F07005-8764-49C5-8452-A47BFF8558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d82efc-258c-4573-8306-bb638674d0f4"/>
    <ds:schemaRef ds:uri="22324d86-e374-4627-a11e-fc613a9064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0283D8-071E-4CA6-B07D-DE157C404020}">
  <ds:schemaRefs>
    <ds:schemaRef ds:uri="http://schemas.microsoft.com/sharepoint/v3/contenttype/forms"/>
  </ds:schemaRefs>
</ds:datastoreItem>
</file>

<file path=customXml/itemProps3.xml><?xml version="1.0" encoding="utf-8"?>
<ds:datastoreItem xmlns:ds="http://schemas.openxmlformats.org/officeDocument/2006/customXml" ds:itemID="{119EED86-25A3-4F77-8CC1-E709042ABC8E}">
  <ds:schemaRefs>
    <ds:schemaRef ds:uri="http://purl.org/dc/elements/1.1/"/>
    <ds:schemaRef ds:uri="http://schemas.openxmlformats.org/package/2006/metadata/core-properties"/>
    <ds:schemaRef ds:uri="67d82efc-258c-4573-8306-bb638674d0f4"/>
    <ds:schemaRef ds:uri="http://www.w3.org/XML/1998/namespace"/>
    <ds:schemaRef ds:uri="22324d86-e374-4627-a11e-fc613a9064fc"/>
    <ds:schemaRef ds:uri="http://purl.org/dc/terms/"/>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LoS</vt:lpstr>
      <vt:lpstr>Assessments</vt:lpstr>
      <vt:lpstr>Risks</vt:lpstr>
      <vt:lpstr>Summary</vt:lpstr>
      <vt:lpstr>Rates</vt:lpstr>
      <vt:lpstr>Cost</vt:lpstr>
      <vt:lpstr>Cost (2)</vt:lpstr>
      <vt:lpstr>O&amp;M</vt:lpstr>
      <vt:lpstr>Hut</vt:lpstr>
      <vt:lpstr>Stakeholders</vt:lpstr>
      <vt:lpstr>Structures List</vt:lpstr>
      <vt:lpstr>LoS!Print_Area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dc:creator>
  <cp:keywords/>
  <dc:description/>
  <cp:lastModifiedBy>Garth Bates</cp:lastModifiedBy>
  <cp:revision/>
  <dcterms:created xsi:type="dcterms:W3CDTF">2023-06-29T21:01:35Z</dcterms:created>
  <dcterms:modified xsi:type="dcterms:W3CDTF">2025-06-10T05:41:44Z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0x010100BEEE0DFE9E795346B3FF290C539D54BD</vt:lpwstr>
  </property>
  <property fmtid="{D5CDD505-2E9C-101B-9397-08002B2CF9AE}" pid="3" name="MediaServiceImageTags">
    <vt:lpwstr/>
  </property>
  <property fmtid="{D5CDD505-2E9C-101B-9397-08002B2CF9AE}" pid="4" name="Order">
    <vt:r8>1174600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