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C:\Users\yocana\Downloads\PDFs with Watermark\"/>
    </mc:Choice>
  </mc:AlternateContent>
  <xr:revisionPtr revIDLastSave="0" documentId="8_{1D253F72-6747-47C7-B09F-0CA53798E5C6}" xr6:coauthVersionLast="47" xr6:coauthVersionMax="47" xr10:uidLastSave="{00000000-0000-0000-0000-000000000000}"/>
  <bookViews>
    <workbookView xWindow="-120" yWindow="-120" windowWidth="29040" windowHeight="15720" xr2:uid="{8983CDD3-C6D4-4AC2-844E-483E69AE56DA}"/>
  </bookViews>
  <sheets>
    <sheet name="Instructions" sheetId="12" r:id="rId1"/>
    <sheet name="Cost_Estimate_Summary" sheetId="13" r:id="rId2"/>
    <sheet name="Cost_Estimates" sheetId="2" r:id="rId3"/>
    <sheet name="Reference Costings" sheetId="4" r:id="rId4"/>
    <sheet name="Assumptions" sheetId="5" r:id="rId5"/>
    <sheet name="Piopiotahi_30112020" sheetId="6" r:id="rId6"/>
    <sheet name="Corridor_30112020" sheetId="7" r:id="rId7"/>
    <sheet name="Te Anau_30112020" sheetId="8" r:id="rId8"/>
  </sheets>
  <externalReferences>
    <externalReference r:id="rId9"/>
  </externalReferences>
  <definedNames>
    <definedName name="_120_m_bore">'Reference Costings'!#REF!</definedName>
    <definedName name="_xlnm._FilterDatabase" localSheetId="1" hidden="1">Cost_Estimate_Summary!$A$2:$P$2</definedName>
    <definedName name="_xlnm._FilterDatabase" localSheetId="2" hidden="1">Cost_Estimates!$A$2:$AB$161</definedName>
    <definedName name="_xlnm._FilterDatabase" localSheetId="3" hidden="1">'Reference Costings'!$A$3:$G$52</definedName>
    <definedName name="alternative_water_sources">'Reference Costings'!#REF!</definedName>
    <definedName name="backflow_prevention">'Reference Costings'!#REF!</definedName>
    <definedName name="Bus_Shelter_Basic">'Reference Costings'!$F$31</definedName>
    <definedName name="Bus_Shelter_Light">'Reference Costings'!$F$31</definedName>
    <definedName name="Bus_Shelter_Minor">'Reference Costings'!$F$32</definedName>
    <definedName name="Bus_Shelter_Robust">'Reference Costings'!$F$33</definedName>
    <definedName name="CarParking_BySpace">'Reference Costings'!$F$8</definedName>
    <definedName name="Carriageway">'Reference Costings'!$F$4</definedName>
    <definedName name="complex_wTP_upgarde">'Reference Costings'!#REF!</definedName>
    <definedName name="ConcreteReservoir_500m3">'Reference Costings'!$F$51</definedName>
    <definedName name="Conservation_SOPs">'[1]3 Waters Costings'!$C$28</definedName>
    <definedName name="Contingency_plans_per_site">'[1]3 Waters Costings'!$C$7</definedName>
    <definedName name="Contract_changes_per_site">'[1]3 Waters Costings'!$C$16</definedName>
    <definedName name="Contractor_Procedures">'[1]3 Waters Costings'!$C$23</definedName>
    <definedName name="Cost_contingency_lookup">'[1]Cost Lookups'!$B$2:$E$7</definedName>
    <definedName name="CoveredWalkway">'Reference Costings'!$F$36</definedName>
    <definedName name="Demolition">'Reference Costings'!$F$34</definedName>
    <definedName name="Design_Standards">'[1]3 Waters Costings'!$C$22</definedName>
    <definedName name="Desktop_engineer_hourly_rate">'[1]3 Waters Costings'!$I$1</definedName>
    <definedName name="Develop_AMPs_per_site">'[1]3 Waters Costings'!$C$24</definedName>
    <definedName name="Develop_LoS">'[1]3 Waters Costings'!$C$17</definedName>
    <definedName name="Education_per_site">'[1]3 Waters Costings'!$C$29</definedName>
    <definedName name="Eng_review_agreements_per_site">'[1]3 Waters Costings'!$C$18</definedName>
    <definedName name="Experience_Hub">'Reference Costings'!$F$30</definedName>
    <definedName name="fire_fighting_upgrade">'Reference Costings'!#REF!</definedName>
    <definedName name="FM_contractor_hourly_rate">'[1]3 Waters Costings'!$I$3</definedName>
    <definedName name="GateValve">'Reference Costings'!$F$49</definedName>
    <definedName name="Generator">'Reference Costings'!$F$12</definedName>
    <definedName name="Gravity_100mm">'Reference Costings'!$F$40</definedName>
    <definedName name="Gravity_150mm">'Reference Costings'!$F$41</definedName>
    <definedName name="Gravity_225mm">'Reference Costings'!$F$42</definedName>
    <definedName name="Gravity_300mm">'Reference Costings'!$F$43</definedName>
    <definedName name="Gravity_450mm">'Reference Costings'!$F$44</definedName>
    <definedName name="HomerTunnel">'Reference Costings'!$F$25</definedName>
    <definedName name="Hotel_100Bed" localSheetId="1">Cost_Estimate_Summary!$H$3</definedName>
    <definedName name="Hotel_100Bed">Cost_Estimates!$T$3</definedName>
    <definedName name="Hotel_200Bed" localSheetId="1">Cost_Estimate_Summary!#REF!</definedName>
    <definedName name="Hotel_200Bed">Cost_Estimates!#REF!</definedName>
    <definedName name="Hotel_300Bed" localSheetId="1">Cost_Estimate_Summary!#REF!</definedName>
    <definedName name="Hotel_300Bed">Cost_Estimates!#REF!</definedName>
    <definedName name="Hotel2Star">'Reference Costings'!$F$27</definedName>
    <definedName name="Hotel3Star">'Reference Costings'!$F$28</definedName>
    <definedName name="Hydrant_install_cost">'Reference Costings'!$E$50</definedName>
    <definedName name="Hydrant_Water">'Reference Costings'!$F$50</definedName>
    <definedName name="Intervention_category_class_lookup">[1]Lookups!$G$11:$O$80</definedName>
    <definedName name="Knobs_Flat_WW">'Reference Costings'!$F$55</definedName>
    <definedName name="Land_Purchase">'Reference Costings'!$F$20</definedName>
    <definedName name="LandDevelopment_halfmetredeep">'Reference Costings'!$F$13</definedName>
    <definedName name="Landscaping">'Reference Costings'!$F$15</definedName>
    <definedName name="Legal_review">'[1]3 Waters Costings'!$C$15</definedName>
    <definedName name="Manhole_1050mm">'Reference Costings'!$F$48</definedName>
    <definedName name="Manhole_install_cost">'Reference Costings'!$E$48</definedName>
    <definedName name="Metalled_Pavement">'Reference Costings'!$F$18</definedName>
    <definedName name="Motel_2star">'Reference Costings'!$F$29</definedName>
    <definedName name="MS_Bunker_Early" localSheetId="1">Cost_Estimate_Summary!$H$9</definedName>
    <definedName name="MS_Bunker_Early">Cost_Estimates!$T$9</definedName>
    <definedName name="MS_Bunker_Moderate" localSheetId="1">Cost_Estimate_Summary!$H$10</definedName>
    <definedName name="MS_Bunker_Moderate">Cost_Estimates!#REF!</definedName>
    <definedName name="MS_BusStop_Robust" localSheetId="1">Cost_Estimate_Summary!$H$11</definedName>
    <definedName name="MS_BusStop_Robust">Cost_Estimates!$T$10</definedName>
    <definedName name="MS_Hotel_Baseline" localSheetId="1">Cost_Estimate_Summary!$H$3</definedName>
    <definedName name="MS_Hotel_Baseline">Cost_Estimates!$T$3</definedName>
    <definedName name="MS_Hotel_ExO" localSheetId="1">Cost_Estimate_Summary!$H$5</definedName>
    <definedName name="MS_Hotel_ExO">Cost_Estimates!$T$5</definedName>
    <definedName name="MS_HotelBaseline" localSheetId="1">Cost_Estimate_Summary!$H$3</definedName>
    <definedName name="MS_HotelBaseline">Cost_Estimates!$T$3</definedName>
    <definedName name="MS_StaffAcc_Baseline" localSheetId="1">Cost_Estimate_Summary!$H$7</definedName>
    <definedName name="MS_StaffAcc_Baseline">Cost_Estimates!$T$7</definedName>
    <definedName name="MS_StaffAcc_ExO" localSheetId="1">Cost_Estimate_Summary!$H$8</definedName>
    <definedName name="MS_StaffAcc_ExO">Cost_Estimates!$T$8</definedName>
    <definedName name="National_Park_Entrance">'Reference Costings'!$F$11</definedName>
    <definedName name="new_steel_tank">'Reference Costings'!#REF!</definedName>
    <definedName name="Onsite_Engineer_hourly_rate">'[1]3 Waters Costings'!$I$2</definedName>
    <definedName name="Operator_training">'[1]3 Waters Costings'!$C$13</definedName>
    <definedName name="Pavement_Developed">'Reference Costings'!$F$9</definedName>
    <definedName name="Piopiotahi_WW">'Reference Costings'!$F$56</definedName>
    <definedName name="Pontoon">'Reference Costings'!$F$37</definedName>
    <definedName name="Power_Cabling">'Reference Costings'!$F$26</definedName>
    <definedName name="Prelim_General">'Reference Costings'!#REF!</definedName>
    <definedName name="Premiere_Landscaping">'Reference Costings'!$F$17</definedName>
    <definedName name="Pressure_100mm">'Reference Costings'!$F$45</definedName>
    <definedName name="Pressure_150mm">'Reference Costings'!$F$46</definedName>
    <definedName name="Pressure_225mm">'Reference Costings'!$F$47</definedName>
    <definedName name="_xlnm.Print_Area" localSheetId="1">Cost_Estimate_Summary!$B$1:$G$78</definedName>
    <definedName name="_xlnm.Print_Area" localSheetId="2">Cost_Estimates!$B$1:$I$128</definedName>
    <definedName name="Prison_Criticality_Lookup">[1]Lookups!$A$11:$E$28</definedName>
    <definedName name="Private_connection_removal">'Reference Costings'!#REF!</definedName>
    <definedName name="Private_conns_per_site">'[1]3 Waters Costings'!$C$20</definedName>
    <definedName name="Professional_fees_as_percent_physical_works">'Reference Costings'!#REF!</definedName>
    <definedName name="Programme_options">[1]Lookups!$A$2:$A$6</definedName>
    <definedName name="PW_pump_station_upgrade">'Reference Costings'!#REF!</definedName>
    <definedName name="PW_Site_Renewal">'[1]Summary_Renewal Costs'!$E$20</definedName>
    <definedName name="PW_Treatment">'Reference Costings'!$F$58</definedName>
    <definedName name="RemovePavement">'Reference Costings'!$F$16</definedName>
    <definedName name="RetainingWall">'Reference Costings'!$F$39</definedName>
    <definedName name="Review_3W_Mgt_Model_per_site">'[1]3 Waters Costings'!$C$19</definedName>
    <definedName name="Review_activities_INV_per_site">'[1]3 Waters Costings'!$C$14</definedName>
    <definedName name="ring_fence">'Reference Costings'!#REF!</definedName>
    <definedName name="Ring_fence_INV_per_site">'[1]3 Waters Costings'!$C$9</definedName>
    <definedName name="ring_mains">'Reference Costings'!#REF!</definedName>
    <definedName name="Safety_Improvement">'Reference Costings'!$F$10</definedName>
    <definedName name="SCADA_per_site">'[1]3 Waters Costings'!$C$6</definedName>
    <definedName name="Security_install">'[1]3 Waters Costings'!$C$8</definedName>
    <definedName name="simple_WTP_upgrade">'Reference Costings'!#REF!</definedName>
    <definedName name="Spares_Mgt_per_site">'[1]3 Waters Costings'!$C$25</definedName>
    <definedName name="sub_metering">'Reference Costings'!#REF!</definedName>
    <definedName name="SW_Basin_Desilting">'Reference Costings'!#REF!</definedName>
    <definedName name="SW_Site_Renewal">'[1]Summary_Renewal Costs'!$E$22</definedName>
    <definedName name="SW_Storage_m3">'Reference Costings'!#REF!</definedName>
    <definedName name="SW_Treatment">'Reference Costings'!#REF!</definedName>
    <definedName name="ToiletBlock">'Reference Costings'!$F$53</definedName>
    <definedName name="Track_Cycleway">'Reference Costings'!$F$24</definedName>
    <definedName name="Track_Premium">'Reference Costings'!$F$22</definedName>
    <definedName name="Track_Tramping">'Reference Costings'!$F$23</definedName>
    <definedName name="Track_Wheelchair">'Reference Costings'!$F$21</definedName>
    <definedName name="Transformer">'Reference Costings'!$F$14</definedName>
    <definedName name="Transport_Buses">'Reference Costings'!$F$7</definedName>
    <definedName name="Transport_Shuttles">'Reference Costings'!$F$6</definedName>
    <definedName name="Travel_costs_per_day">'[1]3 Waters Costings'!$I$4</definedName>
    <definedName name="Turbine">'Reference Costings'!$F$59</definedName>
    <definedName name="Unit_Cost_Lookup">'[1]Cost Lookups'!$A$11:$I$81</definedName>
    <definedName name="Update_EPMO_Templates">'[1]3 Waters Costings'!$C$21</definedName>
    <definedName name="Valve_install_cost">'Reference Costings'!$E$49</definedName>
    <definedName name="VaultedToilet">'Reference Costings'!$F$54</definedName>
    <definedName name="ViewingPlatform">'Reference Costings'!$F$35</definedName>
    <definedName name="water_saving_devices">'Reference Costings'!#REF!</definedName>
    <definedName name="Well_Development">'Reference Costings'!$F$52</definedName>
    <definedName name="well_head_upgrade">'Reference Costings'!#REF!</definedName>
    <definedName name="Wharf">'Reference Costings'!$F$38</definedName>
    <definedName name="WSP">'Reference Costings'!#REF!</definedName>
    <definedName name="WW_II_Repairs">'Reference Costings'!#REF!</definedName>
    <definedName name="WW_PS_Optimisation">'Reference Costings'!#REF!</definedName>
    <definedName name="WW_Site_Renewal">'[1]Summary_Renewal Costs'!$E$21</definedName>
    <definedName name="WW_Storage_m3">'Reference Costings'!#REF!</definedName>
    <definedName name="WW_Submetering">'Reference Costings'!#REF!</definedName>
    <definedName name="WW_Treatment">'Reference Costings'!#REF!</definedName>
    <definedName name="WW_TreatmentPackage">'Reference Costings'!$F$57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8" i="2" l="1"/>
  <c r="J128" i="2" s="1"/>
  <c r="K128" i="2" s="1"/>
  <c r="L128" i="2" s="1"/>
  <c r="H107" i="2"/>
  <c r="J107" i="2" s="1"/>
  <c r="K107" i="2" s="1"/>
  <c r="H36" i="2"/>
  <c r="F17" i="4"/>
  <c r="Q128" i="2"/>
  <c r="P128" i="2"/>
  <c r="O128" i="2"/>
  <c r="M128" i="2"/>
  <c r="V126" i="2"/>
  <c r="X126" i="2" s="1"/>
  <c r="I122" i="2"/>
  <c r="V122" i="2"/>
  <c r="X122" i="2" s="1"/>
  <c r="Q122" i="2"/>
  <c r="P122" i="2"/>
  <c r="O122" i="2"/>
  <c r="M122" i="2"/>
  <c r="H122" i="2"/>
  <c r="Q107" i="2"/>
  <c r="P107" i="2"/>
  <c r="M107" i="2"/>
  <c r="H96" i="2"/>
  <c r="J96" i="2" s="1"/>
  <c r="Q96" i="2"/>
  <c r="P96" i="2"/>
  <c r="O96" i="2"/>
  <c r="M96" i="2"/>
  <c r="H95" i="2"/>
  <c r="N128" i="2" l="1"/>
  <c r="R128" i="2" s="1"/>
  <c r="J122" i="2"/>
  <c r="K122" i="2" s="1"/>
  <c r="L122" i="2" s="1"/>
  <c r="L107" i="2"/>
  <c r="N107" i="2" s="1"/>
  <c r="R107" i="2" s="1"/>
  <c r="K96" i="2"/>
  <c r="S128" i="2" l="1"/>
  <c r="T128" i="2" s="1"/>
  <c r="N122" i="2"/>
  <c r="R122" i="2" s="1"/>
  <c r="S107" i="2"/>
  <c r="T107" i="2" s="1"/>
  <c r="L96" i="2"/>
  <c r="N96" i="2" s="1"/>
  <c r="S122" i="2" l="1"/>
  <c r="T122" i="2" s="1"/>
  <c r="R96" i="2"/>
  <c r="S96" i="2" l="1"/>
  <c r="T96" i="2" s="1"/>
  <c r="H88" i="2" l="1"/>
  <c r="F55" i="4"/>
  <c r="H79" i="2"/>
  <c r="J79" i="2" s="1"/>
  <c r="V79" i="2"/>
  <c r="X79" i="2" s="1"/>
  <c r="Q79" i="2"/>
  <c r="P79" i="2"/>
  <c r="O79" i="2"/>
  <c r="M79" i="2"/>
  <c r="H78" i="2"/>
  <c r="J78" i="2" s="1"/>
  <c r="V78" i="2"/>
  <c r="X78" i="2" s="1"/>
  <c r="Q78" i="2"/>
  <c r="P78" i="2"/>
  <c r="O78" i="2"/>
  <c r="M78" i="2"/>
  <c r="F11" i="4"/>
  <c r="H84" i="2"/>
  <c r="H83" i="2"/>
  <c r="F54" i="4"/>
  <c r="H65" i="2"/>
  <c r="K79" i="2" l="1"/>
  <c r="L79" i="2" s="1"/>
  <c r="K78" i="2"/>
  <c r="L78" i="2" s="1"/>
  <c r="I60" i="2"/>
  <c r="H60" i="2"/>
  <c r="H11" i="2"/>
  <c r="F36" i="4"/>
  <c r="E31" i="4"/>
  <c r="V58" i="2"/>
  <c r="X58" i="2" s="1"/>
  <c r="Q58" i="2"/>
  <c r="P58" i="2"/>
  <c r="O58" i="2"/>
  <c r="M58" i="2"/>
  <c r="V57" i="2"/>
  <c r="X57" i="2" s="1"/>
  <c r="Q57" i="2"/>
  <c r="P57" i="2"/>
  <c r="O57" i="2"/>
  <c r="M57" i="2"/>
  <c r="P19" i="13"/>
  <c r="O19" i="13"/>
  <c r="N19" i="13"/>
  <c r="M19" i="13"/>
  <c r="K19" i="13"/>
  <c r="I19" i="13"/>
  <c r="G19" i="13"/>
  <c r="F19" i="13"/>
  <c r="E19" i="13"/>
  <c r="D19" i="13"/>
  <c r="C19" i="13"/>
  <c r="B19" i="13"/>
  <c r="P18" i="13"/>
  <c r="O18" i="13"/>
  <c r="N18" i="13"/>
  <c r="M18" i="13"/>
  <c r="L18" i="13"/>
  <c r="K18" i="13"/>
  <c r="J18" i="13"/>
  <c r="I18" i="13"/>
  <c r="G18" i="13"/>
  <c r="F18" i="13"/>
  <c r="E18" i="13"/>
  <c r="D18" i="13"/>
  <c r="C18" i="13"/>
  <c r="B18" i="13"/>
  <c r="I63" i="2"/>
  <c r="H55" i="2"/>
  <c r="H54" i="2"/>
  <c r="B15" i="13"/>
  <c r="C15" i="13"/>
  <c r="D15" i="13"/>
  <c r="E15" i="13"/>
  <c r="F15" i="13"/>
  <c r="G15" i="13"/>
  <c r="I15" i="13"/>
  <c r="J15" i="13"/>
  <c r="K15" i="13"/>
  <c r="L15" i="13"/>
  <c r="M15" i="13"/>
  <c r="N15" i="13"/>
  <c r="O15" i="13"/>
  <c r="P15" i="13"/>
  <c r="Q22" i="2"/>
  <c r="P22" i="2"/>
  <c r="M22" i="2"/>
  <c r="Q21" i="2"/>
  <c r="P21" i="2"/>
  <c r="M21" i="2"/>
  <c r="I21" i="2"/>
  <c r="Q20" i="2"/>
  <c r="P20" i="2"/>
  <c r="M20" i="2"/>
  <c r="H20" i="2"/>
  <c r="J20" i="2" s="1"/>
  <c r="K20" i="2" s="1"/>
  <c r="L20" i="2" s="1"/>
  <c r="V19" i="2"/>
  <c r="X19" i="2" s="1"/>
  <c r="Q19" i="2"/>
  <c r="P19" i="2"/>
  <c r="M19" i="2"/>
  <c r="I23" i="2"/>
  <c r="G27" i="13" s="1"/>
  <c r="H25" i="2"/>
  <c r="J25" i="2" s="1"/>
  <c r="V25" i="2"/>
  <c r="X25" i="2" s="1"/>
  <c r="Q25" i="2"/>
  <c r="P25" i="2"/>
  <c r="M25" i="2"/>
  <c r="V24" i="2"/>
  <c r="X24" i="2" s="1"/>
  <c r="Q24" i="2"/>
  <c r="P24" i="2"/>
  <c r="M24" i="2"/>
  <c r="B4" i="13"/>
  <c r="C4" i="13"/>
  <c r="D4" i="13"/>
  <c r="E4" i="13"/>
  <c r="F4" i="13"/>
  <c r="I4" i="13"/>
  <c r="K4" i="13"/>
  <c r="M4" i="13"/>
  <c r="N4" i="13"/>
  <c r="O4" i="13"/>
  <c r="P4" i="13"/>
  <c r="B5" i="13"/>
  <c r="C5" i="13"/>
  <c r="D5" i="13"/>
  <c r="E5" i="13"/>
  <c r="F5" i="13"/>
  <c r="I5" i="13"/>
  <c r="J5" i="13"/>
  <c r="K5" i="13"/>
  <c r="L5" i="13"/>
  <c r="M5" i="13"/>
  <c r="N5" i="13"/>
  <c r="O5" i="13"/>
  <c r="P5" i="13"/>
  <c r="B6" i="13"/>
  <c r="C6" i="13"/>
  <c r="D6" i="13"/>
  <c r="E6" i="13"/>
  <c r="F6" i="13"/>
  <c r="I6" i="13"/>
  <c r="J6" i="13"/>
  <c r="K6" i="13"/>
  <c r="L6" i="13"/>
  <c r="M6" i="13"/>
  <c r="N6" i="13"/>
  <c r="O6" i="13"/>
  <c r="P6" i="13"/>
  <c r="B7" i="13"/>
  <c r="C7" i="13"/>
  <c r="D7" i="13"/>
  <c r="E7" i="13"/>
  <c r="F7" i="13"/>
  <c r="I7" i="13"/>
  <c r="J7" i="13"/>
  <c r="K7" i="13"/>
  <c r="L7" i="13"/>
  <c r="M7" i="13"/>
  <c r="N7" i="13"/>
  <c r="O7" i="13"/>
  <c r="P7" i="13"/>
  <c r="B8" i="13"/>
  <c r="C8" i="13"/>
  <c r="D8" i="13"/>
  <c r="E8" i="13"/>
  <c r="F8" i="13"/>
  <c r="G8" i="13"/>
  <c r="I8" i="13"/>
  <c r="K8" i="13"/>
  <c r="M8" i="13"/>
  <c r="N8" i="13"/>
  <c r="O8" i="13"/>
  <c r="P8" i="13"/>
  <c r="B9" i="13"/>
  <c r="C9" i="13"/>
  <c r="D9" i="13"/>
  <c r="E9" i="13"/>
  <c r="F9" i="13"/>
  <c r="G9" i="13"/>
  <c r="I9" i="13"/>
  <c r="K9" i="13"/>
  <c r="M9" i="13"/>
  <c r="N9" i="13"/>
  <c r="O9" i="13"/>
  <c r="P9" i="13"/>
  <c r="B10" i="13"/>
  <c r="C10" i="13"/>
  <c r="D10" i="13"/>
  <c r="E10" i="13"/>
  <c r="F10" i="13"/>
  <c r="G10" i="13"/>
  <c r="I10" i="13"/>
  <c r="K10" i="13"/>
  <c r="M10" i="13"/>
  <c r="N10" i="13"/>
  <c r="O10" i="13"/>
  <c r="P10" i="13"/>
  <c r="B11" i="13"/>
  <c r="C11" i="13"/>
  <c r="D11" i="13"/>
  <c r="E11" i="13"/>
  <c r="F11" i="13"/>
  <c r="G11" i="13"/>
  <c r="I11" i="13"/>
  <c r="K11" i="13"/>
  <c r="M11" i="13"/>
  <c r="N11" i="13"/>
  <c r="O11" i="13"/>
  <c r="P11" i="13"/>
  <c r="B12" i="13"/>
  <c r="C12" i="13"/>
  <c r="D12" i="13"/>
  <c r="E12" i="13"/>
  <c r="F12" i="13"/>
  <c r="G12" i="13"/>
  <c r="I12" i="13"/>
  <c r="J12" i="13"/>
  <c r="K12" i="13"/>
  <c r="L12" i="13"/>
  <c r="M12" i="13"/>
  <c r="N12" i="13"/>
  <c r="O12" i="13"/>
  <c r="P12" i="13"/>
  <c r="B13" i="13"/>
  <c r="C13" i="13"/>
  <c r="D13" i="13"/>
  <c r="E13" i="13"/>
  <c r="F13" i="13"/>
  <c r="G13" i="13"/>
  <c r="I13" i="13"/>
  <c r="K13" i="13"/>
  <c r="M13" i="13"/>
  <c r="N13" i="13"/>
  <c r="O13" i="13"/>
  <c r="P13" i="13"/>
  <c r="B14" i="13"/>
  <c r="C14" i="13"/>
  <c r="D14" i="13"/>
  <c r="E14" i="13"/>
  <c r="F14" i="13"/>
  <c r="G14" i="13"/>
  <c r="I14" i="13"/>
  <c r="J14" i="13"/>
  <c r="K14" i="13"/>
  <c r="L14" i="13"/>
  <c r="M14" i="13"/>
  <c r="N14" i="13"/>
  <c r="O14" i="13"/>
  <c r="P14" i="13"/>
  <c r="B16" i="13"/>
  <c r="C16" i="13"/>
  <c r="D16" i="13"/>
  <c r="E16" i="13"/>
  <c r="F16" i="13"/>
  <c r="G16" i="13"/>
  <c r="I16" i="13"/>
  <c r="J16" i="13"/>
  <c r="K16" i="13"/>
  <c r="L16" i="13"/>
  <c r="M16" i="13"/>
  <c r="N16" i="13"/>
  <c r="O16" i="13"/>
  <c r="P16" i="13"/>
  <c r="B17" i="13"/>
  <c r="C17" i="13"/>
  <c r="D17" i="13"/>
  <c r="E17" i="13"/>
  <c r="F17" i="13"/>
  <c r="G17" i="13"/>
  <c r="I17" i="13"/>
  <c r="K17" i="13"/>
  <c r="M17" i="13"/>
  <c r="N17" i="13"/>
  <c r="O17" i="13"/>
  <c r="P17" i="13"/>
  <c r="B20" i="13"/>
  <c r="C20" i="13"/>
  <c r="D20" i="13"/>
  <c r="E20" i="13"/>
  <c r="F20" i="13"/>
  <c r="I20" i="13"/>
  <c r="K20" i="13"/>
  <c r="M20" i="13"/>
  <c r="N20" i="13"/>
  <c r="O20" i="13"/>
  <c r="P20" i="13"/>
  <c r="B21" i="13"/>
  <c r="C21" i="13"/>
  <c r="D21" i="13"/>
  <c r="E21" i="13"/>
  <c r="F21" i="13"/>
  <c r="G21" i="13"/>
  <c r="I21" i="13"/>
  <c r="K21" i="13"/>
  <c r="M21" i="13"/>
  <c r="N21" i="13"/>
  <c r="O21" i="13"/>
  <c r="P21" i="13"/>
  <c r="B22" i="13"/>
  <c r="C22" i="13"/>
  <c r="D22" i="13"/>
  <c r="E22" i="13"/>
  <c r="F22" i="13"/>
  <c r="I22" i="13"/>
  <c r="K22" i="13"/>
  <c r="M22" i="13"/>
  <c r="N22" i="13"/>
  <c r="O22" i="13"/>
  <c r="P22" i="13"/>
  <c r="B23" i="13"/>
  <c r="C23" i="13"/>
  <c r="D23" i="13"/>
  <c r="E23" i="13"/>
  <c r="F23" i="13"/>
  <c r="G23" i="13"/>
  <c r="I23" i="13"/>
  <c r="J23" i="13"/>
  <c r="K23" i="13"/>
  <c r="L23" i="13"/>
  <c r="M23" i="13"/>
  <c r="N23" i="13"/>
  <c r="O23" i="13"/>
  <c r="P23" i="13"/>
  <c r="B24" i="13"/>
  <c r="C24" i="13"/>
  <c r="D24" i="13"/>
  <c r="E24" i="13"/>
  <c r="F24" i="13"/>
  <c r="I24" i="13"/>
  <c r="J24" i="13"/>
  <c r="K24" i="13"/>
  <c r="L24" i="13"/>
  <c r="M24" i="13"/>
  <c r="N24" i="13"/>
  <c r="O24" i="13"/>
  <c r="P24" i="13"/>
  <c r="B25" i="13"/>
  <c r="C25" i="13"/>
  <c r="D25" i="13"/>
  <c r="E25" i="13"/>
  <c r="F25" i="13"/>
  <c r="G25" i="13"/>
  <c r="I25" i="13"/>
  <c r="K25" i="13"/>
  <c r="M25" i="13"/>
  <c r="N25" i="13"/>
  <c r="O25" i="13"/>
  <c r="P25" i="13"/>
  <c r="B26" i="13"/>
  <c r="C26" i="13"/>
  <c r="D26" i="13"/>
  <c r="E26" i="13"/>
  <c r="F26" i="13"/>
  <c r="G26" i="13"/>
  <c r="I26" i="13"/>
  <c r="K26" i="13"/>
  <c r="M26" i="13"/>
  <c r="N26" i="13"/>
  <c r="O26" i="13"/>
  <c r="P26" i="13"/>
  <c r="B27" i="13"/>
  <c r="C27" i="13"/>
  <c r="D27" i="13"/>
  <c r="E27" i="13"/>
  <c r="F27" i="13"/>
  <c r="I27" i="13"/>
  <c r="K27" i="13"/>
  <c r="M27" i="13"/>
  <c r="N27" i="13"/>
  <c r="O27" i="13"/>
  <c r="P27" i="13"/>
  <c r="B28" i="13"/>
  <c r="C28" i="13"/>
  <c r="D28" i="13"/>
  <c r="E28" i="13"/>
  <c r="F28" i="13"/>
  <c r="G28" i="13"/>
  <c r="I28" i="13"/>
  <c r="K28" i="13"/>
  <c r="M28" i="13"/>
  <c r="N28" i="13"/>
  <c r="O28" i="13"/>
  <c r="P28" i="13"/>
  <c r="B29" i="13"/>
  <c r="C29" i="13"/>
  <c r="D29" i="13"/>
  <c r="E29" i="13"/>
  <c r="F29" i="13"/>
  <c r="G29" i="13"/>
  <c r="I29" i="13"/>
  <c r="K29" i="13"/>
  <c r="M29" i="13"/>
  <c r="N29" i="13"/>
  <c r="O29" i="13"/>
  <c r="P29" i="13"/>
  <c r="B30" i="13"/>
  <c r="C30" i="13"/>
  <c r="D30" i="13"/>
  <c r="E30" i="13"/>
  <c r="F30" i="13"/>
  <c r="G30" i="13"/>
  <c r="I30" i="13"/>
  <c r="K30" i="13"/>
  <c r="M30" i="13"/>
  <c r="N30" i="13"/>
  <c r="O30" i="13"/>
  <c r="P30" i="13"/>
  <c r="B31" i="13"/>
  <c r="C31" i="13"/>
  <c r="D31" i="13"/>
  <c r="E31" i="13"/>
  <c r="F31" i="13"/>
  <c r="G31" i="13"/>
  <c r="I31" i="13"/>
  <c r="K31" i="13"/>
  <c r="M31" i="13"/>
  <c r="N31" i="13"/>
  <c r="O31" i="13"/>
  <c r="P31" i="13"/>
  <c r="B32" i="13"/>
  <c r="C32" i="13"/>
  <c r="D32" i="13"/>
  <c r="E32" i="13"/>
  <c r="F32" i="13"/>
  <c r="G32" i="13"/>
  <c r="I32" i="13"/>
  <c r="K32" i="13"/>
  <c r="M32" i="13"/>
  <c r="N32" i="13"/>
  <c r="O32" i="13"/>
  <c r="P32" i="13"/>
  <c r="B34" i="13"/>
  <c r="C34" i="13"/>
  <c r="D34" i="13"/>
  <c r="E34" i="13"/>
  <c r="F34" i="13"/>
  <c r="G34" i="13"/>
  <c r="I34" i="13"/>
  <c r="K34" i="13"/>
  <c r="M34" i="13"/>
  <c r="N34" i="13"/>
  <c r="O34" i="13"/>
  <c r="P34" i="13"/>
  <c r="B35" i="13"/>
  <c r="C35" i="13"/>
  <c r="D35" i="13"/>
  <c r="E35" i="13"/>
  <c r="F35" i="13"/>
  <c r="G35" i="13"/>
  <c r="I35" i="13"/>
  <c r="K35" i="13"/>
  <c r="M35" i="13"/>
  <c r="N35" i="13"/>
  <c r="O35" i="13"/>
  <c r="P35" i="13"/>
  <c r="B36" i="13"/>
  <c r="C36" i="13"/>
  <c r="D36" i="13"/>
  <c r="E36" i="13"/>
  <c r="F36" i="13"/>
  <c r="G36" i="13"/>
  <c r="I36" i="13"/>
  <c r="J36" i="13"/>
  <c r="K36" i="13"/>
  <c r="L36" i="13"/>
  <c r="M36" i="13"/>
  <c r="N36" i="13"/>
  <c r="O36" i="13"/>
  <c r="P36" i="13"/>
  <c r="B37" i="13"/>
  <c r="C37" i="13"/>
  <c r="D37" i="13"/>
  <c r="E37" i="13"/>
  <c r="F37" i="13"/>
  <c r="G37" i="13"/>
  <c r="I37" i="13"/>
  <c r="J37" i="13"/>
  <c r="K37" i="13"/>
  <c r="L37" i="13"/>
  <c r="M37" i="13"/>
  <c r="N37" i="13"/>
  <c r="O37" i="13"/>
  <c r="P37" i="13"/>
  <c r="B38" i="13"/>
  <c r="C38" i="13"/>
  <c r="D38" i="13"/>
  <c r="E38" i="13"/>
  <c r="F38" i="13"/>
  <c r="G38" i="13"/>
  <c r="I38" i="13"/>
  <c r="K38" i="13"/>
  <c r="M38" i="13"/>
  <c r="N38" i="13"/>
  <c r="O38" i="13"/>
  <c r="P38" i="13"/>
  <c r="B39" i="13"/>
  <c r="C39" i="13"/>
  <c r="D39" i="13"/>
  <c r="E39" i="13"/>
  <c r="F39" i="13"/>
  <c r="G39" i="13"/>
  <c r="I39" i="13"/>
  <c r="K39" i="13"/>
  <c r="M39" i="13"/>
  <c r="N39" i="13"/>
  <c r="O39" i="13"/>
  <c r="P39" i="13"/>
  <c r="B40" i="13"/>
  <c r="C40" i="13"/>
  <c r="D40" i="13"/>
  <c r="E40" i="13"/>
  <c r="F40" i="13"/>
  <c r="G40" i="13"/>
  <c r="I40" i="13"/>
  <c r="J40" i="13"/>
  <c r="K40" i="13"/>
  <c r="L40" i="13"/>
  <c r="M40" i="13"/>
  <c r="N40" i="13"/>
  <c r="O40" i="13"/>
  <c r="P40" i="13"/>
  <c r="B41" i="13"/>
  <c r="C41" i="13"/>
  <c r="D41" i="13"/>
  <c r="E41" i="13"/>
  <c r="F41" i="13"/>
  <c r="G41" i="13"/>
  <c r="I41" i="13"/>
  <c r="J41" i="13"/>
  <c r="K41" i="13"/>
  <c r="L41" i="13"/>
  <c r="M41" i="13"/>
  <c r="N41" i="13"/>
  <c r="O41" i="13"/>
  <c r="P41" i="13"/>
  <c r="B42" i="13"/>
  <c r="C42" i="13"/>
  <c r="D42" i="13"/>
  <c r="E42" i="13"/>
  <c r="F42" i="13"/>
  <c r="I42" i="13"/>
  <c r="K42" i="13"/>
  <c r="M42" i="13"/>
  <c r="N42" i="13"/>
  <c r="O42" i="13"/>
  <c r="P42" i="13"/>
  <c r="B43" i="13"/>
  <c r="C43" i="13"/>
  <c r="D43" i="13"/>
  <c r="E43" i="13"/>
  <c r="F43" i="13"/>
  <c r="G43" i="13"/>
  <c r="I43" i="13"/>
  <c r="K43" i="13"/>
  <c r="M43" i="13"/>
  <c r="N43" i="13"/>
  <c r="O43" i="13"/>
  <c r="P43" i="13"/>
  <c r="B44" i="13"/>
  <c r="C44" i="13"/>
  <c r="D44" i="13"/>
  <c r="E44" i="13"/>
  <c r="F44" i="13"/>
  <c r="G44" i="13"/>
  <c r="I44" i="13"/>
  <c r="K44" i="13"/>
  <c r="M44" i="13"/>
  <c r="N44" i="13"/>
  <c r="O44" i="13"/>
  <c r="P44" i="13"/>
  <c r="B45" i="13"/>
  <c r="C45" i="13"/>
  <c r="D45" i="13"/>
  <c r="E45" i="13"/>
  <c r="F45" i="13"/>
  <c r="G45" i="13"/>
  <c r="I45" i="13"/>
  <c r="K45" i="13"/>
  <c r="M45" i="13"/>
  <c r="N45" i="13"/>
  <c r="O45" i="13"/>
  <c r="P45" i="13"/>
  <c r="B46" i="13"/>
  <c r="C46" i="13"/>
  <c r="D46" i="13"/>
  <c r="E46" i="13"/>
  <c r="F46" i="13"/>
  <c r="G46" i="13"/>
  <c r="I46" i="13"/>
  <c r="K46" i="13"/>
  <c r="M46" i="13"/>
  <c r="N46" i="13"/>
  <c r="O46" i="13"/>
  <c r="P46" i="13"/>
  <c r="B47" i="13"/>
  <c r="C47" i="13"/>
  <c r="D47" i="13"/>
  <c r="E47" i="13"/>
  <c r="F47" i="13"/>
  <c r="G47" i="13"/>
  <c r="I47" i="13"/>
  <c r="K47" i="13"/>
  <c r="M47" i="13"/>
  <c r="N47" i="13"/>
  <c r="O47" i="13"/>
  <c r="P47" i="13"/>
  <c r="B48" i="13"/>
  <c r="C48" i="13"/>
  <c r="D48" i="13"/>
  <c r="E48" i="13"/>
  <c r="F48" i="13"/>
  <c r="G48" i="13"/>
  <c r="I48" i="13"/>
  <c r="J48" i="13"/>
  <c r="K48" i="13"/>
  <c r="L48" i="13"/>
  <c r="M48" i="13"/>
  <c r="N48" i="13"/>
  <c r="O48" i="13"/>
  <c r="P48" i="13"/>
  <c r="B49" i="13"/>
  <c r="C49" i="13"/>
  <c r="D49" i="13"/>
  <c r="E49" i="13"/>
  <c r="F49" i="13"/>
  <c r="G49" i="13"/>
  <c r="H49" i="13"/>
  <c r="I49" i="13"/>
  <c r="K49" i="13"/>
  <c r="M49" i="13"/>
  <c r="N49" i="13"/>
  <c r="O49" i="13"/>
  <c r="P49" i="13"/>
  <c r="B50" i="13"/>
  <c r="C50" i="13"/>
  <c r="D50" i="13"/>
  <c r="E50" i="13"/>
  <c r="F50" i="13"/>
  <c r="G50" i="13"/>
  <c r="I50" i="13"/>
  <c r="K50" i="13"/>
  <c r="M50" i="13"/>
  <c r="N50" i="13"/>
  <c r="O50" i="13"/>
  <c r="P50" i="13"/>
  <c r="B51" i="13"/>
  <c r="C51" i="13"/>
  <c r="D51" i="13"/>
  <c r="E51" i="13"/>
  <c r="F51" i="13"/>
  <c r="G51" i="13"/>
  <c r="I51" i="13"/>
  <c r="K51" i="13"/>
  <c r="M51" i="13"/>
  <c r="N51" i="13"/>
  <c r="O51" i="13"/>
  <c r="P51" i="13"/>
  <c r="B52" i="13"/>
  <c r="C52" i="13"/>
  <c r="D52" i="13"/>
  <c r="E52" i="13"/>
  <c r="F52" i="13"/>
  <c r="G52" i="13"/>
  <c r="I52" i="13"/>
  <c r="K52" i="13"/>
  <c r="M52" i="13"/>
  <c r="N52" i="13"/>
  <c r="O52" i="13"/>
  <c r="P52" i="13"/>
  <c r="B53" i="13"/>
  <c r="C53" i="13"/>
  <c r="D53" i="13"/>
  <c r="E53" i="13"/>
  <c r="F53" i="13"/>
  <c r="G53" i="13"/>
  <c r="I53" i="13"/>
  <c r="J53" i="13"/>
  <c r="K53" i="13"/>
  <c r="L53" i="13"/>
  <c r="M53" i="13"/>
  <c r="N53" i="13"/>
  <c r="O53" i="13"/>
  <c r="P53" i="13"/>
  <c r="B54" i="13"/>
  <c r="C54" i="13"/>
  <c r="D54" i="13"/>
  <c r="E54" i="13"/>
  <c r="F54" i="13"/>
  <c r="G54" i="13"/>
  <c r="I54" i="13"/>
  <c r="K54" i="13"/>
  <c r="M54" i="13"/>
  <c r="N54" i="13"/>
  <c r="O54" i="13"/>
  <c r="P54" i="13"/>
  <c r="B55" i="13"/>
  <c r="C55" i="13"/>
  <c r="D55" i="13"/>
  <c r="E55" i="13"/>
  <c r="F55" i="13"/>
  <c r="G55" i="13"/>
  <c r="I55" i="13"/>
  <c r="K55" i="13"/>
  <c r="M55" i="13"/>
  <c r="N55" i="13"/>
  <c r="O55" i="13"/>
  <c r="P55" i="13"/>
  <c r="B56" i="13"/>
  <c r="C56" i="13"/>
  <c r="D56" i="13"/>
  <c r="E56" i="13"/>
  <c r="F56" i="13"/>
  <c r="G56" i="13"/>
  <c r="I56" i="13"/>
  <c r="J56" i="13"/>
  <c r="K56" i="13"/>
  <c r="L56" i="13"/>
  <c r="M56" i="13"/>
  <c r="N56" i="13"/>
  <c r="O56" i="13"/>
  <c r="P56" i="13"/>
  <c r="B57" i="13"/>
  <c r="C57" i="13"/>
  <c r="D57" i="13"/>
  <c r="E57" i="13"/>
  <c r="F57" i="13"/>
  <c r="G57" i="13"/>
  <c r="I57" i="13"/>
  <c r="J57" i="13"/>
  <c r="K57" i="13"/>
  <c r="L57" i="13"/>
  <c r="M57" i="13"/>
  <c r="N57" i="13"/>
  <c r="O57" i="13"/>
  <c r="P57" i="13"/>
  <c r="B58" i="13"/>
  <c r="C58" i="13"/>
  <c r="D58" i="13"/>
  <c r="E58" i="13"/>
  <c r="F58" i="13"/>
  <c r="G58" i="13"/>
  <c r="H58" i="13"/>
  <c r="I58" i="13"/>
  <c r="J58" i="13"/>
  <c r="K58" i="13"/>
  <c r="L58" i="13"/>
  <c r="M58" i="13"/>
  <c r="N58" i="13"/>
  <c r="O58" i="13"/>
  <c r="P58" i="13"/>
  <c r="B59" i="13"/>
  <c r="C59" i="13"/>
  <c r="D59" i="13"/>
  <c r="E59" i="13"/>
  <c r="F59" i="13"/>
  <c r="I59" i="13"/>
  <c r="K59" i="13"/>
  <c r="M59" i="13"/>
  <c r="N59" i="13"/>
  <c r="O59" i="13"/>
  <c r="P59" i="13"/>
  <c r="B60" i="13"/>
  <c r="C60" i="13"/>
  <c r="D60" i="13"/>
  <c r="E60" i="13"/>
  <c r="F60" i="13"/>
  <c r="I60" i="13"/>
  <c r="K60" i="13"/>
  <c r="M60" i="13"/>
  <c r="N60" i="13"/>
  <c r="O60" i="13"/>
  <c r="P60" i="13"/>
  <c r="B61" i="13"/>
  <c r="C61" i="13"/>
  <c r="D61" i="13"/>
  <c r="E61" i="13"/>
  <c r="F61" i="13"/>
  <c r="I61" i="13"/>
  <c r="K61" i="13"/>
  <c r="M61" i="13"/>
  <c r="N61" i="13"/>
  <c r="O61" i="13"/>
  <c r="P61" i="13"/>
  <c r="B62" i="13"/>
  <c r="C62" i="13"/>
  <c r="D62" i="13"/>
  <c r="E62" i="13"/>
  <c r="F62" i="13"/>
  <c r="G62" i="13"/>
  <c r="I62" i="13"/>
  <c r="K62" i="13"/>
  <c r="M62" i="13"/>
  <c r="N62" i="13"/>
  <c r="O62" i="13"/>
  <c r="P62" i="13"/>
  <c r="B63" i="13"/>
  <c r="C63" i="13"/>
  <c r="D63" i="13"/>
  <c r="E63" i="13"/>
  <c r="F63" i="13"/>
  <c r="G63" i="13"/>
  <c r="I63" i="13"/>
  <c r="K63" i="13"/>
  <c r="M63" i="13"/>
  <c r="N63" i="13"/>
  <c r="O63" i="13"/>
  <c r="P63" i="13"/>
  <c r="B64" i="13"/>
  <c r="C64" i="13"/>
  <c r="D64" i="13"/>
  <c r="E64" i="13"/>
  <c r="F64" i="13"/>
  <c r="G64" i="13"/>
  <c r="I64" i="13"/>
  <c r="K64" i="13"/>
  <c r="M64" i="13"/>
  <c r="N64" i="13"/>
  <c r="O64" i="13"/>
  <c r="P64" i="13"/>
  <c r="B65" i="13"/>
  <c r="C65" i="13"/>
  <c r="D65" i="13"/>
  <c r="E65" i="13"/>
  <c r="F65" i="13"/>
  <c r="G65" i="13"/>
  <c r="I65" i="13"/>
  <c r="K65" i="13"/>
  <c r="M65" i="13"/>
  <c r="N65" i="13"/>
  <c r="O65" i="13"/>
  <c r="P65" i="13"/>
  <c r="B67" i="13"/>
  <c r="C67" i="13"/>
  <c r="D67" i="13"/>
  <c r="E67" i="13"/>
  <c r="F67" i="13"/>
  <c r="G67" i="13"/>
  <c r="I67" i="13"/>
  <c r="J67" i="13"/>
  <c r="K67" i="13"/>
  <c r="L67" i="13"/>
  <c r="M67" i="13"/>
  <c r="N67" i="13"/>
  <c r="O67" i="13"/>
  <c r="P67" i="13"/>
  <c r="B68" i="13"/>
  <c r="C68" i="13"/>
  <c r="D68" i="13"/>
  <c r="E68" i="13"/>
  <c r="F68" i="13"/>
  <c r="G68" i="13"/>
  <c r="H68" i="13"/>
  <c r="I68" i="13"/>
  <c r="J68" i="13"/>
  <c r="K68" i="13"/>
  <c r="L68" i="13"/>
  <c r="M68" i="13"/>
  <c r="N68" i="13"/>
  <c r="O68" i="13"/>
  <c r="P68" i="13"/>
  <c r="B69" i="13"/>
  <c r="C69" i="13"/>
  <c r="D69" i="13"/>
  <c r="E69" i="13"/>
  <c r="F69" i="13"/>
  <c r="G69" i="13"/>
  <c r="I69" i="13"/>
  <c r="J69" i="13"/>
  <c r="K69" i="13"/>
  <c r="L69" i="13"/>
  <c r="M69" i="13"/>
  <c r="N69" i="13"/>
  <c r="O69" i="13"/>
  <c r="P69" i="13"/>
  <c r="B70" i="13"/>
  <c r="C70" i="13"/>
  <c r="D70" i="13"/>
  <c r="E70" i="13"/>
  <c r="F70" i="13"/>
  <c r="G70" i="13"/>
  <c r="I70" i="13"/>
  <c r="J70" i="13"/>
  <c r="K70" i="13"/>
  <c r="L70" i="13"/>
  <c r="M70" i="13"/>
  <c r="N70" i="13"/>
  <c r="O70" i="13"/>
  <c r="P70" i="13"/>
  <c r="B71" i="13"/>
  <c r="C71" i="13"/>
  <c r="D71" i="13"/>
  <c r="E71" i="13"/>
  <c r="F71" i="13"/>
  <c r="G71" i="13"/>
  <c r="I71" i="13"/>
  <c r="J71" i="13"/>
  <c r="K71" i="13"/>
  <c r="L71" i="13"/>
  <c r="M71" i="13"/>
  <c r="N71" i="13"/>
  <c r="O71" i="13"/>
  <c r="P71" i="13"/>
  <c r="B72" i="13"/>
  <c r="C72" i="13"/>
  <c r="D72" i="13"/>
  <c r="E72" i="13"/>
  <c r="F72" i="13"/>
  <c r="G72" i="13"/>
  <c r="I72" i="13"/>
  <c r="J72" i="13"/>
  <c r="K72" i="13"/>
  <c r="L72" i="13"/>
  <c r="M72" i="13"/>
  <c r="N72" i="13"/>
  <c r="O72" i="13"/>
  <c r="P72" i="13"/>
  <c r="B73" i="13"/>
  <c r="C73" i="13"/>
  <c r="D73" i="13"/>
  <c r="E73" i="13"/>
  <c r="F73" i="13"/>
  <c r="G73" i="13"/>
  <c r="H73" i="13"/>
  <c r="I73" i="13"/>
  <c r="J73" i="13"/>
  <c r="K73" i="13"/>
  <c r="L73" i="13"/>
  <c r="M73" i="13"/>
  <c r="N73" i="13"/>
  <c r="O73" i="13"/>
  <c r="P73" i="13"/>
  <c r="B74" i="13"/>
  <c r="C74" i="13"/>
  <c r="D74" i="13"/>
  <c r="E74" i="13"/>
  <c r="F74" i="13"/>
  <c r="G74" i="13"/>
  <c r="I74" i="13"/>
  <c r="J74" i="13"/>
  <c r="K74" i="13"/>
  <c r="L74" i="13"/>
  <c r="M74" i="13"/>
  <c r="N74" i="13"/>
  <c r="O74" i="13"/>
  <c r="P74" i="13"/>
  <c r="B75" i="13"/>
  <c r="C75" i="13"/>
  <c r="D75" i="13"/>
  <c r="E75" i="13"/>
  <c r="F75" i="13"/>
  <c r="G75" i="13"/>
  <c r="H75" i="13"/>
  <c r="I75" i="13"/>
  <c r="J75" i="13"/>
  <c r="K75" i="13"/>
  <c r="L75" i="13"/>
  <c r="M75" i="13"/>
  <c r="N75" i="13"/>
  <c r="O75" i="13"/>
  <c r="P75" i="13"/>
  <c r="B76" i="13"/>
  <c r="C76" i="13"/>
  <c r="D76" i="13"/>
  <c r="E76" i="13"/>
  <c r="F76" i="13"/>
  <c r="G76" i="13"/>
  <c r="I76" i="13"/>
  <c r="J76" i="13"/>
  <c r="K76" i="13"/>
  <c r="L76" i="13"/>
  <c r="M76" i="13"/>
  <c r="N76" i="13"/>
  <c r="O76" i="13"/>
  <c r="P76" i="13"/>
  <c r="B77" i="13"/>
  <c r="C77" i="13"/>
  <c r="D77" i="13"/>
  <c r="E77" i="13"/>
  <c r="F77" i="13"/>
  <c r="G77" i="13"/>
  <c r="I77" i="13"/>
  <c r="J77" i="13"/>
  <c r="K77" i="13"/>
  <c r="L77" i="13"/>
  <c r="M77" i="13"/>
  <c r="N77" i="13"/>
  <c r="O77" i="13"/>
  <c r="P77" i="13"/>
  <c r="B78" i="13"/>
  <c r="C78" i="13"/>
  <c r="D78" i="13"/>
  <c r="E78" i="13"/>
  <c r="F78" i="13"/>
  <c r="G78" i="13"/>
  <c r="I78" i="13"/>
  <c r="J78" i="13"/>
  <c r="K78" i="13"/>
  <c r="L78" i="13"/>
  <c r="M78" i="13"/>
  <c r="N78" i="13"/>
  <c r="O78" i="13"/>
  <c r="P78" i="13"/>
  <c r="C3" i="13"/>
  <c r="D3" i="13"/>
  <c r="E3" i="13"/>
  <c r="F3" i="13"/>
  <c r="G3" i="13"/>
  <c r="I3" i="13"/>
  <c r="K3" i="13"/>
  <c r="M3" i="13"/>
  <c r="N3" i="13"/>
  <c r="O3" i="13"/>
  <c r="P3" i="13"/>
  <c r="B3" i="13"/>
  <c r="I31" i="2"/>
  <c r="G22" i="13" s="1"/>
  <c r="F16" i="4"/>
  <c r="F15" i="4"/>
  <c r="Q36" i="2"/>
  <c r="P36" i="2"/>
  <c r="M36" i="2"/>
  <c r="N79" i="2" l="1"/>
  <c r="R79" i="2" s="1"/>
  <c r="N78" i="2"/>
  <c r="R78" i="2" s="1"/>
  <c r="N20" i="2"/>
  <c r="R20" i="2" s="1"/>
  <c r="K25" i="2"/>
  <c r="L25" i="2" s="1"/>
  <c r="S79" i="2" l="1"/>
  <c r="T79" i="2" s="1"/>
  <c r="H37" i="13" s="1"/>
  <c r="S78" i="2"/>
  <c r="T78" i="2" s="1"/>
  <c r="H36" i="13" s="1"/>
  <c r="S20" i="2"/>
  <c r="T20" i="2" s="1"/>
  <c r="N25" i="2"/>
  <c r="R25" i="2" s="1"/>
  <c r="V61" i="2"/>
  <c r="V89" i="2"/>
  <c r="F57" i="4"/>
  <c r="H48" i="2" s="1"/>
  <c r="F56" i="4"/>
  <c r="X89" i="2" l="1"/>
  <c r="L49" i="13" s="1"/>
  <c r="J49" i="13"/>
  <c r="X61" i="2"/>
  <c r="L17" i="13" s="1"/>
  <c r="J17" i="13"/>
  <c r="S25" i="2"/>
  <c r="T25" i="2" s="1"/>
  <c r="H17" i="13" l="1"/>
  <c r="J1" i="13" l="1"/>
  <c r="I15" i="2"/>
  <c r="G4" i="13" s="1"/>
  <c r="I12" i="2"/>
  <c r="G7" i="13" s="1"/>
  <c r="I3" i="2"/>
  <c r="G5" i="13" s="1"/>
  <c r="E26" i="4"/>
  <c r="H64" i="2"/>
  <c r="E13" i="4" l="1"/>
  <c r="V63" i="2"/>
  <c r="J26" i="13" s="1"/>
  <c r="Q63" i="2"/>
  <c r="P63" i="2"/>
  <c r="O63" i="2"/>
  <c r="M63" i="2"/>
  <c r="H63" i="2"/>
  <c r="J63" i="2" s="1"/>
  <c r="K63" i="2" s="1"/>
  <c r="X63" i="2" l="1"/>
  <c r="L63" i="2"/>
  <c r="L26" i="13" l="1"/>
  <c r="N63" i="2"/>
  <c r="R63" i="2" s="1"/>
  <c r="S63" i="2" s="1"/>
  <c r="T63" i="2" s="1"/>
  <c r="H26" i="13" s="1"/>
  <c r="F53" i="4" l="1"/>
  <c r="H29" i="2" s="1"/>
  <c r="F24" i="4"/>
  <c r="H91" i="2" s="1"/>
  <c r="F35" i="4"/>
  <c r="H57" i="2" s="1"/>
  <c r="J57" i="2" s="1"/>
  <c r="E27" i="4"/>
  <c r="E28" i="4"/>
  <c r="E29" i="4"/>
  <c r="E30" i="4"/>
  <c r="K57" i="2" l="1"/>
  <c r="L57" i="2" s="1"/>
  <c r="N57" i="2" s="1"/>
  <c r="H90" i="2"/>
  <c r="M93" i="2"/>
  <c r="O93" i="2"/>
  <c r="P93" i="2"/>
  <c r="Q93" i="2"/>
  <c r="V93" i="2"/>
  <c r="H101" i="2"/>
  <c r="J101" i="2" s="1"/>
  <c r="M101" i="2"/>
  <c r="O101" i="2"/>
  <c r="P101" i="2"/>
  <c r="Q101" i="2"/>
  <c r="V101" i="2"/>
  <c r="I9" i="7"/>
  <c r="I8" i="2"/>
  <c r="I7" i="2"/>
  <c r="I6" i="2" s="1"/>
  <c r="G6" i="13" s="1"/>
  <c r="X93" i="2" l="1"/>
  <c r="L55" i="13" s="1"/>
  <c r="J55" i="13"/>
  <c r="X101" i="2"/>
  <c r="L63" i="13" s="1"/>
  <c r="J63" i="13"/>
  <c r="R57" i="2"/>
  <c r="S57" i="2" s="1"/>
  <c r="T57" i="2" s="1"/>
  <c r="K101" i="2"/>
  <c r="L101" i="2" s="1"/>
  <c r="V11" i="2"/>
  <c r="J10" i="13" s="1"/>
  <c r="Q11" i="2"/>
  <c r="P11" i="2"/>
  <c r="O11" i="2"/>
  <c r="M11" i="2"/>
  <c r="J11" i="2"/>
  <c r="V23" i="2"/>
  <c r="Q23" i="2"/>
  <c r="P23" i="2"/>
  <c r="M23" i="2"/>
  <c r="M62" i="2"/>
  <c r="O62" i="2"/>
  <c r="P62" i="2"/>
  <c r="Q62" i="2"/>
  <c r="V62" i="2"/>
  <c r="C20" i="4"/>
  <c r="F20" i="4" s="1"/>
  <c r="V82" i="2"/>
  <c r="Q82" i="2"/>
  <c r="P82" i="2"/>
  <c r="M82" i="2"/>
  <c r="Q95" i="2"/>
  <c r="P95" i="2"/>
  <c r="O95" i="2"/>
  <c r="M95" i="2"/>
  <c r="J95" i="2"/>
  <c r="V103" i="2"/>
  <c r="Q103" i="2"/>
  <c r="P103" i="2"/>
  <c r="O103" i="2"/>
  <c r="M103" i="2"/>
  <c r="H103" i="2"/>
  <c r="J103" i="2" s="1"/>
  <c r="H102" i="2"/>
  <c r="J102" i="2" s="1"/>
  <c r="V102" i="2"/>
  <c r="Q102" i="2"/>
  <c r="P102" i="2"/>
  <c r="O102" i="2"/>
  <c r="M102" i="2"/>
  <c r="I6" i="7"/>
  <c r="Q94" i="2"/>
  <c r="P94" i="2"/>
  <c r="O94" i="2"/>
  <c r="M94" i="2"/>
  <c r="V92" i="2"/>
  <c r="Q92" i="2"/>
  <c r="P92" i="2"/>
  <c r="O92" i="2"/>
  <c r="M92" i="2"/>
  <c r="J91" i="2"/>
  <c r="J90" i="2"/>
  <c r="V91" i="2"/>
  <c r="Q91" i="2"/>
  <c r="P91" i="2"/>
  <c r="O91" i="2"/>
  <c r="M91" i="2"/>
  <c r="V90" i="2"/>
  <c r="Q90" i="2"/>
  <c r="P90" i="2"/>
  <c r="O90" i="2"/>
  <c r="M90" i="2"/>
  <c r="X102" i="2" l="1"/>
  <c r="L64" i="13" s="1"/>
  <c r="J64" i="13"/>
  <c r="X103" i="2"/>
  <c r="L65" i="13" s="1"/>
  <c r="J65" i="13"/>
  <c r="X92" i="2"/>
  <c r="L54" i="13" s="1"/>
  <c r="J54" i="13"/>
  <c r="X91" i="2"/>
  <c r="L51" i="13" s="1"/>
  <c r="J51" i="13"/>
  <c r="X90" i="2"/>
  <c r="L50" i="13" s="1"/>
  <c r="J50" i="13"/>
  <c r="X82" i="2"/>
  <c r="L44" i="13" s="1"/>
  <c r="J44" i="13"/>
  <c r="X62" i="2"/>
  <c r="L19" i="13" s="1"/>
  <c r="J19" i="13"/>
  <c r="X23" i="2"/>
  <c r="L27" i="13" s="1"/>
  <c r="J27" i="13"/>
  <c r="X11" i="2"/>
  <c r="L10" i="13" s="1"/>
  <c r="N101" i="2"/>
  <c r="R101" i="2" s="1"/>
  <c r="S101" i="2" s="1"/>
  <c r="T101" i="2" s="1"/>
  <c r="H63" i="13" s="1"/>
  <c r="K11" i="2"/>
  <c r="L11" i="2" s="1"/>
  <c r="K95" i="2"/>
  <c r="K103" i="2"/>
  <c r="K102" i="2"/>
  <c r="L102" i="2" s="1"/>
  <c r="K91" i="2"/>
  <c r="L91" i="2" s="1"/>
  <c r="K90" i="2"/>
  <c r="N11" i="2" l="1"/>
  <c r="R11" i="2" s="1"/>
  <c r="L95" i="2"/>
  <c r="L103" i="2"/>
  <c r="N103" i="2" s="1"/>
  <c r="N102" i="2"/>
  <c r="R102" i="2" s="1"/>
  <c r="N91" i="2"/>
  <c r="R91" i="2" s="1"/>
  <c r="S91" i="2" s="1"/>
  <c r="T91" i="2" s="1"/>
  <c r="H51" i="13" s="1"/>
  <c r="L90" i="2"/>
  <c r="N90" i="2" s="1"/>
  <c r="S11" i="2" l="1"/>
  <c r="T11" i="2" s="1"/>
  <c r="H10" i="13" s="1"/>
  <c r="N95" i="2"/>
  <c r="R95" i="2" s="1"/>
  <c r="R103" i="2"/>
  <c r="S102" i="2"/>
  <c r="T102" i="2" s="1"/>
  <c r="H64" i="13" s="1"/>
  <c r="R90" i="2"/>
  <c r="V88" i="2"/>
  <c r="V87" i="2"/>
  <c r="V77" i="2"/>
  <c r="V76" i="2"/>
  <c r="V100" i="2"/>
  <c r="V99" i="2"/>
  <c r="V98" i="2"/>
  <c r="V97" i="2"/>
  <c r="V71" i="2"/>
  <c r="X71" i="2" s="1"/>
  <c r="V70" i="2"/>
  <c r="X70" i="2" s="1"/>
  <c r="V83" i="2"/>
  <c r="V85" i="2"/>
  <c r="X48" i="2"/>
  <c r="V75" i="2"/>
  <c r="X75" i="2" s="1"/>
  <c r="V74" i="2"/>
  <c r="X74" i="2" s="1"/>
  <c r="V73" i="2"/>
  <c r="X73" i="2" s="1"/>
  <c r="V68" i="2"/>
  <c r="V67" i="2"/>
  <c r="V80" i="2"/>
  <c r="V81" i="2"/>
  <c r="V109" i="2"/>
  <c r="X109" i="2" s="1"/>
  <c r="V127" i="2"/>
  <c r="X127" i="2" s="1"/>
  <c r="V125" i="2"/>
  <c r="X125" i="2" s="1"/>
  <c r="V123" i="2"/>
  <c r="X123" i="2" s="1"/>
  <c r="V121" i="2"/>
  <c r="X121" i="2" s="1"/>
  <c r="V60" i="2"/>
  <c r="V59" i="2"/>
  <c r="X59" i="2" s="1"/>
  <c r="V64" i="2"/>
  <c r="V65" i="2"/>
  <c r="V52" i="2"/>
  <c r="X52" i="2" s="1"/>
  <c r="V51" i="2"/>
  <c r="X51" i="2" s="1"/>
  <c r="V50" i="2"/>
  <c r="X50" i="2" s="1"/>
  <c r="V47" i="2"/>
  <c r="X47" i="2" s="1"/>
  <c r="V46" i="2"/>
  <c r="X46" i="2" s="1"/>
  <c r="V44" i="2"/>
  <c r="X44" i="2" s="1"/>
  <c r="V43" i="2"/>
  <c r="X43" i="2" s="1"/>
  <c r="V42" i="2"/>
  <c r="X42" i="2" s="1"/>
  <c r="V41" i="2"/>
  <c r="X41" i="2" s="1"/>
  <c r="V35" i="2"/>
  <c r="J13" i="13" s="1"/>
  <c r="V34" i="2"/>
  <c r="J20" i="13" s="1"/>
  <c r="V31" i="2"/>
  <c r="J22" i="13" s="1"/>
  <c r="V32" i="2"/>
  <c r="J11" i="13" s="1"/>
  <c r="V30" i="2"/>
  <c r="V33" i="2"/>
  <c r="X98" i="2" l="1"/>
  <c r="L60" i="13" s="1"/>
  <c r="J60" i="13"/>
  <c r="X97" i="2"/>
  <c r="L59" i="13" s="1"/>
  <c r="J59" i="13"/>
  <c r="X99" i="2"/>
  <c r="L61" i="13" s="1"/>
  <c r="J61" i="13"/>
  <c r="X100" i="2"/>
  <c r="L62" i="13" s="1"/>
  <c r="J62" i="13"/>
  <c r="X85" i="2"/>
  <c r="L47" i="13" s="1"/>
  <c r="J47" i="13"/>
  <c r="X83" i="2"/>
  <c r="L52" i="13" s="1"/>
  <c r="J52" i="13"/>
  <c r="X87" i="2"/>
  <c r="L45" i="13" s="1"/>
  <c r="J45" i="13"/>
  <c r="X88" i="2"/>
  <c r="L46" i="13" s="1"/>
  <c r="J46" i="13"/>
  <c r="X81" i="2"/>
  <c r="L42" i="13" s="1"/>
  <c r="J42" i="13"/>
  <c r="X76" i="2"/>
  <c r="L39" i="13" s="1"/>
  <c r="J39" i="13"/>
  <c r="X80" i="2"/>
  <c r="L43" i="13" s="1"/>
  <c r="J43" i="13"/>
  <c r="X77" i="2"/>
  <c r="L38" i="13" s="1"/>
  <c r="J38" i="13"/>
  <c r="X67" i="2"/>
  <c r="L34" i="13" s="1"/>
  <c r="J34" i="13"/>
  <c r="X68" i="2"/>
  <c r="L35" i="13" s="1"/>
  <c r="J35" i="13"/>
  <c r="X64" i="2"/>
  <c r="L32" i="13" s="1"/>
  <c r="J32" i="13"/>
  <c r="X65" i="2"/>
  <c r="L29" i="13" s="1"/>
  <c r="J29" i="13"/>
  <c r="X60" i="2"/>
  <c r="L25" i="13" s="1"/>
  <c r="J25" i="13"/>
  <c r="X33" i="2"/>
  <c r="X30" i="2"/>
  <c r="X32" i="2"/>
  <c r="L11" i="13" s="1"/>
  <c r="X31" i="2"/>
  <c r="L22" i="13" s="1"/>
  <c r="X34" i="2"/>
  <c r="L20" i="13" s="1"/>
  <c r="X35" i="2"/>
  <c r="L13" i="13" s="1"/>
  <c r="H94" i="2"/>
  <c r="J94" i="2" s="1"/>
  <c r="S95" i="2"/>
  <c r="T95" i="2" s="1"/>
  <c r="H57" i="13" s="1"/>
  <c r="S103" i="2"/>
  <c r="T103" i="2" s="1"/>
  <c r="H65" i="13" s="1"/>
  <c r="S90" i="2"/>
  <c r="T90" i="2" s="1"/>
  <c r="H50" i="13" s="1"/>
  <c r="M121" i="2"/>
  <c r="O121" i="2"/>
  <c r="P121" i="2"/>
  <c r="Q121" i="2"/>
  <c r="K94" i="2" l="1"/>
  <c r="L94" i="2" s="1"/>
  <c r="H77" i="2"/>
  <c r="J77" i="2" s="1"/>
  <c r="M77" i="2"/>
  <c r="O77" i="2"/>
  <c r="P77" i="2"/>
  <c r="Q77" i="2"/>
  <c r="Q86" i="2"/>
  <c r="P86" i="2"/>
  <c r="O86" i="2"/>
  <c r="M86" i="2"/>
  <c r="N94" i="2" l="1"/>
  <c r="R94" i="2" s="1"/>
  <c r="S94" i="2" s="1"/>
  <c r="T94" i="2" s="1"/>
  <c r="H56" i="13" s="1"/>
  <c r="K77" i="2"/>
  <c r="L77" i="2" l="1"/>
  <c r="N77" i="2" s="1"/>
  <c r="R77" i="2" s="1"/>
  <c r="S77" i="2" l="1"/>
  <c r="T77" i="2" s="1"/>
  <c r="H38" i="13" s="1"/>
  <c r="V15" i="2" l="1"/>
  <c r="J4" i="13" s="1"/>
  <c r="X15" i="2" l="1"/>
  <c r="L4" i="13" s="1"/>
  <c r="V4" i="2"/>
  <c r="X4" i="2" s="1"/>
  <c r="Q4" i="2"/>
  <c r="P4" i="2"/>
  <c r="M4" i="2"/>
  <c r="V8" i="2"/>
  <c r="X8" i="2" s="1"/>
  <c r="Q8" i="2"/>
  <c r="P8" i="2"/>
  <c r="M8" i="2"/>
  <c r="Q64" i="2"/>
  <c r="P64" i="2"/>
  <c r="O64" i="2"/>
  <c r="M64" i="2"/>
  <c r="J64" i="2"/>
  <c r="H68" i="2"/>
  <c r="J68" i="2" s="1"/>
  <c r="Q68" i="2"/>
  <c r="P68" i="2"/>
  <c r="M68" i="2"/>
  <c r="Q88" i="2"/>
  <c r="P88" i="2"/>
  <c r="O88" i="2"/>
  <c r="M88" i="2"/>
  <c r="H87" i="2"/>
  <c r="J87" i="2" s="1"/>
  <c r="Q87" i="2"/>
  <c r="P87" i="2"/>
  <c r="M87" i="2"/>
  <c r="I30" i="2"/>
  <c r="I34" i="2"/>
  <c r="G20" i="13" s="1"/>
  <c r="H35" i="2"/>
  <c r="H34" i="2"/>
  <c r="F31" i="4"/>
  <c r="I33" i="2"/>
  <c r="V119" i="2"/>
  <c r="X119" i="2" s="1"/>
  <c r="Q119" i="2"/>
  <c r="P119" i="2"/>
  <c r="O119" i="2"/>
  <c r="M119" i="2"/>
  <c r="M127" i="2"/>
  <c r="M125" i="2"/>
  <c r="M118" i="2"/>
  <c r="M117" i="2"/>
  <c r="M116" i="2"/>
  <c r="M115" i="2"/>
  <c r="M109" i="2"/>
  <c r="M108" i="2"/>
  <c r="M106" i="2"/>
  <c r="M105" i="2"/>
  <c r="M76" i="2"/>
  <c r="M100" i="2"/>
  <c r="M99" i="2"/>
  <c r="M98" i="2"/>
  <c r="M97" i="2"/>
  <c r="M71" i="2"/>
  <c r="M70" i="2"/>
  <c r="M80" i="2"/>
  <c r="M75" i="2"/>
  <c r="M74" i="2"/>
  <c r="M73" i="2"/>
  <c r="M85" i="2"/>
  <c r="M84" i="2"/>
  <c r="M83" i="2"/>
  <c r="M81" i="2"/>
  <c r="M67" i="2"/>
  <c r="M5" i="2"/>
  <c r="M7" i="2"/>
  <c r="M9" i="2"/>
  <c r="M10" i="2"/>
  <c r="M13" i="2"/>
  <c r="M14" i="2"/>
  <c r="M16" i="2"/>
  <c r="M17" i="2"/>
  <c r="M26" i="2"/>
  <c r="M27" i="2"/>
  <c r="M28" i="2"/>
  <c r="M29" i="2"/>
  <c r="M30" i="2"/>
  <c r="M31" i="2"/>
  <c r="M32" i="2"/>
  <c r="M33" i="2"/>
  <c r="M34" i="2"/>
  <c r="M35" i="2"/>
  <c r="M41" i="2"/>
  <c r="M42" i="2"/>
  <c r="M43" i="2"/>
  <c r="M44" i="2"/>
  <c r="M46" i="2"/>
  <c r="M47" i="2"/>
  <c r="M48" i="2"/>
  <c r="M50" i="2"/>
  <c r="M51" i="2"/>
  <c r="M52" i="2"/>
  <c r="M54" i="2"/>
  <c r="M55" i="2"/>
  <c r="M59" i="2"/>
  <c r="M60" i="2"/>
  <c r="M65" i="2"/>
  <c r="K64" i="2" l="1"/>
  <c r="L64" i="2" s="1"/>
  <c r="K68" i="2"/>
  <c r="L68" i="2" s="1"/>
  <c r="N68" i="2" s="1"/>
  <c r="R68" i="2" s="1"/>
  <c r="K87" i="2"/>
  <c r="L87" i="2" s="1"/>
  <c r="I5" i="7"/>
  <c r="I99" i="2" s="1"/>
  <c r="G61" i="13" s="1"/>
  <c r="I7" i="7"/>
  <c r="I3" i="7"/>
  <c r="I97" i="2" s="1"/>
  <c r="G59" i="13" s="1"/>
  <c r="K4" i="7"/>
  <c r="I98" i="2" s="1"/>
  <c r="G60" i="13" s="1"/>
  <c r="I4" i="7" l="1"/>
  <c r="N64" i="2"/>
  <c r="R64" i="2" s="1"/>
  <c r="S64" i="2" s="1"/>
  <c r="T64" i="2" s="1"/>
  <c r="H32" i="13" s="1"/>
  <c r="S68" i="2"/>
  <c r="T68" i="2" s="1"/>
  <c r="H35" i="13" s="1"/>
  <c r="N87" i="2"/>
  <c r="R87" i="2" s="1"/>
  <c r="H111" i="2"/>
  <c r="H112" i="2"/>
  <c r="H113" i="2"/>
  <c r="S87" i="2" l="1"/>
  <c r="T87" i="2" s="1"/>
  <c r="H45" i="13" s="1"/>
  <c r="V17" i="2"/>
  <c r="X17" i="2" s="1"/>
  <c r="Q17" i="2"/>
  <c r="P17" i="2"/>
  <c r="D6" i="6" l="1"/>
  <c r="D8" i="6"/>
  <c r="Q52" i="2" l="1"/>
  <c r="P52" i="2"/>
  <c r="O52" i="2"/>
  <c r="Q80" i="2"/>
  <c r="P80" i="2"/>
  <c r="O80" i="2"/>
  <c r="H80" i="2"/>
  <c r="J80" i="2" s="1"/>
  <c r="K80" i="2" l="1"/>
  <c r="L80" i="2" s="1"/>
  <c r="V29" i="2"/>
  <c r="J31" i="13" s="1"/>
  <c r="V27" i="2"/>
  <c r="J30" i="13" s="1"/>
  <c r="V18" i="2"/>
  <c r="V16" i="2"/>
  <c r="X16" i="2" s="1"/>
  <c r="V13" i="2"/>
  <c r="X13" i="2" s="1"/>
  <c r="V14" i="2"/>
  <c r="X14" i="2" s="1"/>
  <c r="V10" i="2"/>
  <c r="J9" i="13" s="1"/>
  <c r="V9" i="2"/>
  <c r="J21" i="13" s="1"/>
  <c r="V28" i="2"/>
  <c r="J8" i="13" s="1"/>
  <c r="V26" i="2"/>
  <c r="J3" i="13" s="1"/>
  <c r="V7" i="2"/>
  <c r="X7" i="2" s="1"/>
  <c r="V5" i="2"/>
  <c r="X5" i="2" s="1"/>
  <c r="H39" i="2"/>
  <c r="H38" i="2"/>
  <c r="H37" i="2" s="1"/>
  <c r="X27" i="2" l="1"/>
  <c r="X29" i="2"/>
  <c r="X18" i="2"/>
  <c r="L28" i="13" s="1"/>
  <c r="J28" i="13"/>
  <c r="X10" i="2"/>
  <c r="L9" i="13" s="1"/>
  <c r="X26" i="2"/>
  <c r="L3" i="13" s="1"/>
  <c r="X28" i="2"/>
  <c r="L8" i="13" s="1"/>
  <c r="X9" i="2"/>
  <c r="L21" i="13" s="1"/>
  <c r="N80" i="2"/>
  <c r="R80" i="2" s="1"/>
  <c r="V108" i="2"/>
  <c r="X108" i="2" s="1"/>
  <c r="V106" i="2"/>
  <c r="X106" i="2" s="1"/>
  <c r="V105" i="2"/>
  <c r="X105" i="2" s="1"/>
  <c r="V115" i="2"/>
  <c r="X115" i="2" s="1"/>
  <c r="V116" i="2"/>
  <c r="X116" i="2" s="1"/>
  <c r="V117" i="2"/>
  <c r="X117" i="2" s="1"/>
  <c r="V118" i="2"/>
  <c r="X118" i="2" s="1"/>
  <c r="V113" i="2"/>
  <c r="X113" i="2" s="1"/>
  <c r="V112" i="2"/>
  <c r="X112" i="2" s="1"/>
  <c r="V111" i="2"/>
  <c r="X111" i="2" s="1"/>
  <c r="I113" i="2"/>
  <c r="J113" i="2" s="1"/>
  <c r="I112" i="2"/>
  <c r="I111" i="2"/>
  <c r="Q100" i="2"/>
  <c r="P100" i="2"/>
  <c r="O100" i="2"/>
  <c r="H100" i="2"/>
  <c r="J100" i="2" s="1"/>
  <c r="Q99" i="2"/>
  <c r="P99" i="2"/>
  <c r="O99" i="2"/>
  <c r="H99" i="2"/>
  <c r="J99" i="2" s="1"/>
  <c r="Q98" i="2"/>
  <c r="P98" i="2"/>
  <c r="O98" i="2"/>
  <c r="H98" i="2"/>
  <c r="Q97" i="2"/>
  <c r="P97" i="2"/>
  <c r="O97" i="2"/>
  <c r="H97" i="2"/>
  <c r="J97" i="2" s="1"/>
  <c r="I81" i="2"/>
  <c r="G42" i="13" s="1"/>
  <c r="V39" i="2"/>
  <c r="X39" i="2" s="1"/>
  <c r="V38" i="2"/>
  <c r="X38" i="2" s="1"/>
  <c r="I39" i="2"/>
  <c r="J39" i="2" s="1"/>
  <c r="N39" i="2" s="1"/>
  <c r="R39" i="2" s="1"/>
  <c r="I38" i="2"/>
  <c r="I37" i="2" s="1"/>
  <c r="G24" i="13" s="1"/>
  <c r="P81" i="2"/>
  <c r="Q81" i="2"/>
  <c r="J111" i="2" l="1"/>
  <c r="I110" i="2"/>
  <c r="I115" i="2" s="1"/>
  <c r="L31" i="13"/>
  <c r="L30" i="13"/>
  <c r="J112" i="2"/>
  <c r="N112" i="2" s="1"/>
  <c r="R112" i="2" s="1"/>
  <c r="S112" i="2" s="1"/>
  <c r="T112" i="2" s="1"/>
  <c r="I41" i="2"/>
  <c r="S80" i="2"/>
  <c r="T80" i="2" s="1"/>
  <c r="H43" i="13" s="1"/>
  <c r="N113" i="2"/>
  <c r="R113" i="2" s="1"/>
  <c r="S113" i="2" s="1"/>
  <c r="T113" i="2" s="1"/>
  <c r="J98" i="2"/>
  <c r="K98" i="2" s="1"/>
  <c r="K100" i="2"/>
  <c r="K99" i="2"/>
  <c r="K97" i="2"/>
  <c r="L97" i="2" s="1"/>
  <c r="S39" i="2"/>
  <c r="T39" i="2" s="1"/>
  <c r="L100" i="2" l="1"/>
  <c r="N97" i="2"/>
  <c r="R97" i="2" s="1"/>
  <c r="L98" i="2"/>
  <c r="N98" i="2" s="1"/>
  <c r="R98" i="2" s="1"/>
  <c r="L99" i="2"/>
  <c r="N99" i="2" s="1"/>
  <c r="R99" i="2" s="1"/>
  <c r="N100" i="2" l="1"/>
  <c r="R100" i="2" s="1"/>
  <c r="S99" i="2"/>
  <c r="T99" i="2" s="1"/>
  <c r="H61" i="13" s="1"/>
  <c r="S98" i="2"/>
  <c r="T98" i="2" s="1"/>
  <c r="H60" i="13" s="1"/>
  <c r="S97" i="2"/>
  <c r="T97" i="2" s="1"/>
  <c r="H59" i="13" s="1"/>
  <c r="S100" i="2" l="1"/>
  <c r="T100" i="2" s="1"/>
  <c r="H62" i="13" s="1"/>
  <c r="Q5" i="2" l="1"/>
  <c r="P5" i="2"/>
  <c r="P14" i="2"/>
  <c r="Q14" i="2"/>
  <c r="Q33" i="2"/>
  <c r="P33" i="2"/>
  <c r="O33" i="2"/>
  <c r="Q29" i="2"/>
  <c r="P29" i="2"/>
  <c r="P16" i="2" l="1"/>
  <c r="Q16" i="2"/>
  <c r="J65" i="2" l="1"/>
  <c r="O65" i="2"/>
  <c r="P65" i="2"/>
  <c r="Q65" i="2"/>
  <c r="Q35" i="2"/>
  <c r="P35" i="2"/>
  <c r="J35" i="2"/>
  <c r="Q9" i="2"/>
  <c r="P9" i="2"/>
  <c r="Q55" i="2"/>
  <c r="P55" i="2"/>
  <c r="O55" i="2"/>
  <c r="J55" i="2"/>
  <c r="Q34" i="2"/>
  <c r="P34" i="2"/>
  <c r="J34" i="2"/>
  <c r="Q28" i="2"/>
  <c r="P28" i="2"/>
  <c r="H28" i="2"/>
  <c r="J28" i="2" s="1"/>
  <c r="J54" i="2"/>
  <c r="O54" i="2"/>
  <c r="P54" i="2"/>
  <c r="Q54" i="2"/>
  <c r="Q7" i="2"/>
  <c r="P7" i="2"/>
  <c r="I74" i="2"/>
  <c r="K65" i="2" l="1"/>
  <c r="L65" i="2" s="1"/>
  <c r="K35" i="2"/>
  <c r="L35" i="2" s="1"/>
  <c r="N35" i="2" s="1"/>
  <c r="R35" i="2" s="1"/>
  <c r="K55" i="2"/>
  <c r="L55" i="2" s="1"/>
  <c r="K34" i="2"/>
  <c r="K28" i="2"/>
  <c r="L28" i="2" s="1"/>
  <c r="K54" i="2"/>
  <c r="L54" i="2" s="1"/>
  <c r="H27" i="2"/>
  <c r="J27" i="2" s="1"/>
  <c r="H26" i="2"/>
  <c r="J26" i="2" s="1"/>
  <c r="K26" i="2" s="1"/>
  <c r="J38" i="2"/>
  <c r="N38" i="2" s="1"/>
  <c r="Q44" i="2"/>
  <c r="P44" i="2"/>
  <c r="O44" i="2"/>
  <c r="Q43" i="2"/>
  <c r="P43" i="2"/>
  <c r="O43" i="2"/>
  <c r="Q117" i="2"/>
  <c r="P117" i="2"/>
  <c r="O117" i="2"/>
  <c r="O116" i="2"/>
  <c r="P116" i="2"/>
  <c r="Q116" i="2"/>
  <c r="F12" i="4"/>
  <c r="H116" i="2" s="1"/>
  <c r="J116" i="2" s="1"/>
  <c r="E14" i="4"/>
  <c r="F14" i="4" s="1"/>
  <c r="Q76" i="2"/>
  <c r="P76" i="2"/>
  <c r="O76" i="2"/>
  <c r="H75" i="2"/>
  <c r="Q85" i="2"/>
  <c r="P85" i="2"/>
  <c r="O85" i="2"/>
  <c r="Q118" i="2"/>
  <c r="P118" i="2"/>
  <c r="Q115" i="2"/>
  <c r="P115" i="2"/>
  <c r="O115" i="2"/>
  <c r="N111" i="2"/>
  <c r="R111" i="2" s="1"/>
  <c r="Q109" i="2"/>
  <c r="P109" i="2"/>
  <c r="O109" i="2"/>
  <c r="Q41" i="2"/>
  <c r="P41" i="2"/>
  <c r="O41" i="2"/>
  <c r="Q42" i="2"/>
  <c r="P42" i="2"/>
  <c r="Q26" i="2"/>
  <c r="P26" i="2"/>
  <c r="Q27" i="2"/>
  <c r="P27" i="2"/>
  <c r="H117" i="2" l="1"/>
  <c r="J117" i="2" s="1"/>
  <c r="K117" i="2" s="1"/>
  <c r="L117" i="2" s="1"/>
  <c r="N65" i="2"/>
  <c r="R65" i="2" s="1"/>
  <c r="S35" i="2"/>
  <c r="T35" i="2" s="1"/>
  <c r="H13" i="13" s="1"/>
  <c r="N55" i="2"/>
  <c r="R55" i="2" s="1"/>
  <c r="L34" i="2"/>
  <c r="N34" i="2" s="1"/>
  <c r="N28" i="2"/>
  <c r="R28" i="2" s="1"/>
  <c r="N54" i="2"/>
  <c r="R54" i="2" s="1"/>
  <c r="S54" i="2" s="1"/>
  <c r="R38" i="2"/>
  <c r="H44" i="2"/>
  <c r="J44" i="2" s="1"/>
  <c r="K44" i="2" s="1"/>
  <c r="L44" i="2" s="1"/>
  <c r="N44" i="2" s="1"/>
  <c r="R44" i="2" s="1"/>
  <c r="H43" i="2"/>
  <c r="J43" i="2" s="1"/>
  <c r="K43" i="2" s="1"/>
  <c r="K116" i="2"/>
  <c r="L26" i="2"/>
  <c r="N26" i="2" s="1"/>
  <c r="K27" i="2"/>
  <c r="S65" i="2" l="1"/>
  <c r="T65" i="2" s="1"/>
  <c r="H29" i="13" s="1"/>
  <c r="S55" i="2"/>
  <c r="T55" i="2" s="1"/>
  <c r="R34" i="2"/>
  <c r="S28" i="2"/>
  <c r="T28" i="2" s="1"/>
  <c r="H8" i="13" s="1"/>
  <c r="T54" i="2"/>
  <c r="S111" i="2"/>
  <c r="S38" i="2"/>
  <c r="T38" i="2" s="1"/>
  <c r="T37" i="2" s="1"/>
  <c r="H24" i="13" s="1"/>
  <c r="S44" i="2"/>
  <c r="T44" i="2" s="1"/>
  <c r="L43" i="2"/>
  <c r="N117" i="2"/>
  <c r="R117" i="2" s="1"/>
  <c r="L116" i="2"/>
  <c r="N116" i="2" s="1"/>
  <c r="R116" i="2" s="1"/>
  <c r="R26" i="2"/>
  <c r="L27" i="2"/>
  <c r="N27" i="2" s="1"/>
  <c r="O108" i="2"/>
  <c r="P108" i="2"/>
  <c r="Q108" i="2"/>
  <c r="O32" i="2"/>
  <c r="P32" i="2"/>
  <c r="Q32" i="2"/>
  <c r="Q127" i="2"/>
  <c r="P127" i="2"/>
  <c r="O127" i="2"/>
  <c r="I127" i="2"/>
  <c r="Q125" i="2"/>
  <c r="P125" i="2"/>
  <c r="O125" i="2"/>
  <c r="Q106" i="2"/>
  <c r="P106" i="2"/>
  <c r="Q105" i="2"/>
  <c r="P105" i="2"/>
  <c r="O105" i="2"/>
  <c r="Q71" i="2"/>
  <c r="P71" i="2"/>
  <c r="O71" i="2"/>
  <c r="I71" i="2"/>
  <c r="Q70" i="2"/>
  <c r="P70" i="2"/>
  <c r="O70" i="2"/>
  <c r="Q75" i="2"/>
  <c r="P75" i="2"/>
  <c r="O75" i="2"/>
  <c r="J75" i="2"/>
  <c r="Q74" i="2"/>
  <c r="P74" i="2"/>
  <c r="O74" i="2"/>
  <c r="Q73" i="2"/>
  <c r="P73" i="2"/>
  <c r="O73" i="2"/>
  <c r="Q84" i="2"/>
  <c r="P84" i="2"/>
  <c r="O84" i="2"/>
  <c r="Q83" i="2"/>
  <c r="P83" i="2"/>
  <c r="O83" i="2"/>
  <c r="Q67" i="2"/>
  <c r="P67" i="2"/>
  <c r="I51" i="2"/>
  <c r="I52" i="2" s="1"/>
  <c r="Q60" i="2"/>
  <c r="P60" i="2"/>
  <c r="O60" i="2"/>
  <c r="E49" i="4"/>
  <c r="F49" i="4" s="1"/>
  <c r="H71" i="2" s="1"/>
  <c r="F48" i="4"/>
  <c r="I47" i="2"/>
  <c r="O47" i="2"/>
  <c r="P47" i="2"/>
  <c r="Q47" i="2"/>
  <c r="Q31" i="2"/>
  <c r="P31" i="2"/>
  <c r="O31" i="2"/>
  <c r="Q13" i="2"/>
  <c r="P13" i="2"/>
  <c r="F30" i="4"/>
  <c r="H58" i="2" s="1"/>
  <c r="J58" i="2" s="1"/>
  <c r="F29" i="4"/>
  <c r="F28" i="4"/>
  <c r="H4" i="2" s="1"/>
  <c r="F27" i="4"/>
  <c r="F51" i="4"/>
  <c r="H52" i="2" s="1"/>
  <c r="F47" i="4"/>
  <c r="F46" i="4"/>
  <c r="F45" i="4"/>
  <c r="H125" i="2" s="1"/>
  <c r="J125" i="2" s="1"/>
  <c r="F41" i="4"/>
  <c r="F42" i="4"/>
  <c r="F43" i="4"/>
  <c r="F44" i="4"/>
  <c r="F40" i="4"/>
  <c r="E4" i="4"/>
  <c r="F4" i="4" s="1"/>
  <c r="E5" i="4"/>
  <c r="F5" i="4" s="1"/>
  <c r="E21" i="4"/>
  <c r="F21" i="4" s="1"/>
  <c r="F22" i="4" s="1"/>
  <c r="J36" i="2" s="1"/>
  <c r="E8" i="4"/>
  <c r="F8" i="4" s="1"/>
  <c r="H119" i="2" s="1"/>
  <c r="E9" i="4"/>
  <c r="F9" i="4" s="1"/>
  <c r="H21" i="2" s="1"/>
  <c r="J21" i="2" s="1"/>
  <c r="K21" i="2" s="1"/>
  <c r="L21" i="2" s="1"/>
  <c r="N21" i="2" s="1"/>
  <c r="R21" i="2" s="1"/>
  <c r="S21" i="2" s="1"/>
  <c r="T21" i="2" s="1"/>
  <c r="E50" i="4"/>
  <c r="F50" i="4" s="1"/>
  <c r="F52" i="4"/>
  <c r="K36" i="2" l="1"/>
  <c r="L36" i="2"/>
  <c r="N36" i="2" s="1"/>
  <c r="R36" i="2" s="1"/>
  <c r="S36" i="2" s="1"/>
  <c r="T36" i="2" s="1"/>
  <c r="H24" i="2"/>
  <c r="J24" i="2" s="1"/>
  <c r="H19" i="2"/>
  <c r="J19" i="2" s="1"/>
  <c r="K58" i="2"/>
  <c r="L58" i="2" s="1"/>
  <c r="N58" i="2" s="1"/>
  <c r="R58" i="2" s="1"/>
  <c r="S58" i="2" s="1"/>
  <c r="T58" i="2" s="1"/>
  <c r="E33" i="4"/>
  <c r="F33" i="4" s="1"/>
  <c r="E32" i="4"/>
  <c r="F32" i="4"/>
  <c r="H62" i="2"/>
  <c r="J62" i="2" s="1"/>
  <c r="K62" i="2" s="1"/>
  <c r="L62" i="2" s="1"/>
  <c r="N62" i="2" s="1"/>
  <c r="H33" i="2"/>
  <c r="J33" i="2" s="1"/>
  <c r="H115" i="2"/>
  <c r="H30" i="2"/>
  <c r="H82" i="2"/>
  <c r="J82" i="2" s="1"/>
  <c r="K82" i="2" s="1"/>
  <c r="L82" i="2" s="1"/>
  <c r="N82" i="2" s="1"/>
  <c r="R82" i="2" s="1"/>
  <c r="S82" i="2" s="1"/>
  <c r="T82" i="2" s="1"/>
  <c r="H44" i="13" s="1"/>
  <c r="J23" i="2"/>
  <c r="T111" i="2"/>
  <c r="T110" i="2" s="1"/>
  <c r="J4" i="2"/>
  <c r="H5" i="2"/>
  <c r="H3" i="2" s="1"/>
  <c r="H92" i="2"/>
  <c r="J92" i="2" s="1"/>
  <c r="H46" i="2"/>
  <c r="J46" i="2" s="1"/>
  <c r="H121" i="2"/>
  <c r="J121" i="2" s="1"/>
  <c r="T53" i="2"/>
  <c r="H16" i="13" s="1"/>
  <c r="H81" i="2"/>
  <c r="J81" i="2" s="1"/>
  <c r="J115" i="2"/>
  <c r="H7" i="2"/>
  <c r="H42" i="2"/>
  <c r="J42" i="2" s="1"/>
  <c r="J52" i="2"/>
  <c r="K52" i="2" s="1"/>
  <c r="L52" i="2" s="1"/>
  <c r="N52" i="2" s="1"/>
  <c r="R52" i="2" s="1"/>
  <c r="S52" i="2" s="1"/>
  <c r="T52" i="2" s="1"/>
  <c r="H16" i="2"/>
  <c r="H106" i="2"/>
  <c r="J106" i="2" s="1"/>
  <c r="K106" i="2" s="1"/>
  <c r="H108" i="2"/>
  <c r="J108" i="2" s="1"/>
  <c r="K108" i="2" s="1"/>
  <c r="J119" i="2"/>
  <c r="H109" i="2"/>
  <c r="J109" i="2" s="1"/>
  <c r="K109" i="2" s="1"/>
  <c r="L109" i="2" s="1"/>
  <c r="H32" i="2"/>
  <c r="J32" i="2" s="1"/>
  <c r="K32" i="2" s="1"/>
  <c r="S34" i="2"/>
  <c r="T34" i="2" s="1"/>
  <c r="H20" i="13" s="1"/>
  <c r="N43" i="2"/>
  <c r="R43" i="2" s="1"/>
  <c r="S117" i="2"/>
  <c r="T117" i="2" s="1"/>
  <c r="S116" i="2"/>
  <c r="T116" i="2" s="1"/>
  <c r="H76" i="2"/>
  <c r="J76" i="2" s="1"/>
  <c r="H59" i="2"/>
  <c r="J59" i="2" s="1"/>
  <c r="K59" i="2" s="1"/>
  <c r="H31" i="2"/>
  <c r="J31" i="2" s="1"/>
  <c r="K31" i="2" s="1"/>
  <c r="H118" i="2"/>
  <c r="J118" i="2" s="1"/>
  <c r="H67" i="2"/>
  <c r="J67" i="2" s="1"/>
  <c r="F18" i="4"/>
  <c r="S26" i="2"/>
  <c r="T26" i="2" s="1"/>
  <c r="H3" i="13" s="1"/>
  <c r="R27" i="2"/>
  <c r="H51" i="2"/>
  <c r="J51" i="2" s="1"/>
  <c r="H47" i="2"/>
  <c r="J47" i="2" s="1"/>
  <c r="K47" i="2" s="1"/>
  <c r="H73" i="2"/>
  <c r="J73" i="2" s="1"/>
  <c r="H50" i="2"/>
  <c r="J50" i="2" s="1"/>
  <c r="J60" i="2"/>
  <c r="K60" i="2" s="1"/>
  <c r="H74" i="2"/>
  <c r="J74" i="2" s="1"/>
  <c r="H70" i="2"/>
  <c r="J70" i="2" s="1"/>
  <c r="K70" i="2" s="1"/>
  <c r="H127" i="2"/>
  <c r="J127" i="2" s="1"/>
  <c r="H13" i="2"/>
  <c r="H14" i="2" s="1"/>
  <c r="H12" i="2" s="1"/>
  <c r="J12" i="2" s="1"/>
  <c r="J30" i="2"/>
  <c r="J83" i="2"/>
  <c r="K125" i="2"/>
  <c r="J71" i="2"/>
  <c r="K71" i="2" s="1"/>
  <c r="K75" i="2"/>
  <c r="Q59" i="2"/>
  <c r="P59" i="2"/>
  <c r="O59" i="2"/>
  <c r="Q51" i="2"/>
  <c r="P51" i="2"/>
  <c r="O51" i="2"/>
  <c r="Q50" i="2"/>
  <c r="P50" i="2"/>
  <c r="O50" i="2"/>
  <c r="Q48" i="2"/>
  <c r="P48" i="2"/>
  <c r="O48" i="2"/>
  <c r="J48" i="2"/>
  <c r="Q46" i="2"/>
  <c r="P46" i="2"/>
  <c r="O46" i="2"/>
  <c r="Q30" i="2"/>
  <c r="P30" i="2"/>
  <c r="O30" i="2"/>
  <c r="Q10" i="2"/>
  <c r="P10" i="2"/>
  <c r="O10" i="2"/>
  <c r="H78" i="13" l="1"/>
  <c r="H22" i="2"/>
  <c r="H86" i="2"/>
  <c r="H12" i="13"/>
  <c r="K19" i="2"/>
  <c r="L19" i="2" s="1"/>
  <c r="K24" i="2"/>
  <c r="L24" i="2" s="1"/>
  <c r="H93" i="2"/>
  <c r="J93" i="2" s="1"/>
  <c r="K93" i="2" s="1"/>
  <c r="L93" i="2" s="1"/>
  <c r="N93" i="2" s="1"/>
  <c r="R93" i="2" s="1"/>
  <c r="R62" i="2"/>
  <c r="S62" i="2" s="1"/>
  <c r="T62" i="2" s="1"/>
  <c r="K23" i="2"/>
  <c r="L23" i="2" s="1"/>
  <c r="N23" i="2" s="1"/>
  <c r="R23" i="2" s="1"/>
  <c r="S23" i="2" s="1"/>
  <c r="K121" i="2"/>
  <c r="L121" i="2" s="1"/>
  <c r="N121" i="2" s="1"/>
  <c r="R121" i="2" s="1"/>
  <c r="S121" i="2" s="1"/>
  <c r="T121" i="2" s="1"/>
  <c r="T120" i="2" s="1"/>
  <c r="H71" i="13" s="1"/>
  <c r="K92" i="2"/>
  <c r="L92" i="2" s="1"/>
  <c r="K4" i="2"/>
  <c r="L4" i="2" s="1"/>
  <c r="J86" i="2"/>
  <c r="J7" i="2"/>
  <c r="K7" i="2" s="1"/>
  <c r="L7" i="2" s="1"/>
  <c r="H8" i="2"/>
  <c r="N109" i="2"/>
  <c r="R109" i="2" s="1"/>
  <c r="S109" i="2" s="1"/>
  <c r="T109" i="2" s="1"/>
  <c r="H74" i="13" s="1"/>
  <c r="H10" i="2"/>
  <c r="J10" i="2" s="1"/>
  <c r="K10" i="2" s="1"/>
  <c r="H105" i="2"/>
  <c r="J105" i="2" s="1"/>
  <c r="K105" i="2" s="1"/>
  <c r="J88" i="2"/>
  <c r="J29" i="2"/>
  <c r="K29" i="2" s="1"/>
  <c r="L29" i="2" s="1"/>
  <c r="N29" i="2" s="1"/>
  <c r="R29" i="2" s="1"/>
  <c r="S29" i="2" s="1"/>
  <c r="T29" i="2" s="1"/>
  <c r="J84" i="2"/>
  <c r="K84" i="2" s="1"/>
  <c r="H9" i="2"/>
  <c r="J9" i="2" s="1"/>
  <c r="K9" i="2" s="1"/>
  <c r="L9" i="2" s="1"/>
  <c r="N9" i="2" s="1"/>
  <c r="K119" i="2"/>
  <c r="L119" i="2" s="1"/>
  <c r="N119" i="2" s="1"/>
  <c r="R119" i="2" s="1"/>
  <c r="S119" i="2" s="1"/>
  <c r="T119" i="2" s="1"/>
  <c r="H77" i="13" s="1"/>
  <c r="K33" i="2"/>
  <c r="J16" i="2"/>
  <c r="H17" i="2"/>
  <c r="J17" i="2" s="1"/>
  <c r="K17" i="2" s="1"/>
  <c r="L17" i="2" s="1"/>
  <c r="N17" i="2" s="1"/>
  <c r="R17" i="2" s="1"/>
  <c r="S17" i="2" s="1"/>
  <c r="T17" i="2" s="1"/>
  <c r="K81" i="2"/>
  <c r="L81" i="2" s="1"/>
  <c r="N81" i="2" s="1"/>
  <c r="R81" i="2" s="1"/>
  <c r="S81" i="2" s="1"/>
  <c r="T81" i="2" s="1"/>
  <c r="H42" i="13" s="1"/>
  <c r="J13" i="2"/>
  <c r="K13" i="2" s="1"/>
  <c r="J14" i="2"/>
  <c r="J5" i="2"/>
  <c r="S43" i="2"/>
  <c r="T43" i="2" s="1"/>
  <c r="K76" i="2"/>
  <c r="L76" i="2" s="1"/>
  <c r="K118" i="2"/>
  <c r="L118" i="2" s="1"/>
  <c r="N118" i="2" s="1"/>
  <c r="R118" i="2" s="1"/>
  <c r="S118" i="2" s="1"/>
  <c r="T118" i="2" s="1"/>
  <c r="K42" i="2"/>
  <c r="L42" i="2" s="1"/>
  <c r="N42" i="2" s="1"/>
  <c r="R42" i="2" s="1"/>
  <c r="S42" i="2" s="1"/>
  <c r="T42" i="2" s="1"/>
  <c r="K115" i="2"/>
  <c r="L115" i="2" s="1"/>
  <c r="N115" i="2" s="1"/>
  <c r="H41" i="2"/>
  <c r="J41" i="2" s="1"/>
  <c r="S27" i="2"/>
  <c r="T27" i="2" s="1"/>
  <c r="L60" i="2"/>
  <c r="N60" i="2" s="1"/>
  <c r="R60" i="2" s="1"/>
  <c r="S60" i="2" s="1"/>
  <c r="T60" i="2" s="1"/>
  <c r="H25" i="13" s="1"/>
  <c r="L70" i="2"/>
  <c r="N70" i="2" s="1"/>
  <c r="R70" i="2" s="1"/>
  <c r="S70" i="2" s="1"/>
  <c r="T70" i="2" s="1"/>
  <c r="L47" i="2"/>
  <c r="L75" i="2"/>
  <c r="N75" i="2" s="1"/>
  <c r="R75" i="2" s="1"/>
  <c r="S75" i="2" s="1"/>
  <c r="T75" i="2" s="1"/>
  <c r="L32" i="2"/>
  <c r="N32" i="2" s="1"/>
  <c r="L31" i="2"/>
  <c r="N31" i="2" s="1"/>
  <c r="R31" i="2" s="1"/>
  <c r="L106" i="2"/>
  <c r="N106" i="2" s="1"/>
  <c r="R106" i="2" s="1"/>
  <c r="L108" i="2"/>
  <c r="N108" i="2" s="1"/>
  <c r="R108" i="2" s="1"/>
  <c r="K67" i="2"/>
  <c r="L67" i="2" s="1"/>
  <c r="K73" i="2"/>
  <c r="K83" i="2"/>
  <c r="K127" i="2"/>
  <c r="K74" i="2"/>
  <c r="L125" i="2"/>
  <c r="N125" i="2" s="1"/>
  <c r="R125" i="2" s="1"/>
  <c r="S125" i="2" s="1"/>
  <c r="T125" i="2" s="1"/>
  <c r="L71" i="2"/>
  <c r="N71" i="2" s="1"/>
  <c r="R71" i="2" s="1"/>
  <c r="S71" i="2" s="1"/>
  <c r="T71" i="2" s="1"/>
  <c r="K48" i="2"/>
  <c r="L59" i="2"/>
  <c r="N59" i="2" s="1"/>
  <c r="R59" i="2" s="1"/>
  <c r="S59" i="2" s="1"/>
  <c r="T59" i="2" s="1"/>
  <c r="T56" i="2" s="1"/>
  <c r="H18" i="13" s="1"/>
  <c r="K51" i="2"/>
  <c r="K30" i="2"/>
  <c r="K46" i="2"/>
  <c r="K50" i="2"/>
  <c r="N19" i="2" l="1"/>
  <c r="R19" i="2" s="1"/>
  <c r="S19" i="2" s="1"/>
  <c r="T19" i="2" s="1"/>
  <c r="N24" i="2"/>
  <c r="R24" i="2" s="1"/>
  <c r="S24" i="2" s="1"/>
  <c r="T24" i="2" s="1"/>
  <c r="T23" i="2" s="1"/>
  <c r="H19" i="13"/>
  <c r="H30" i="13"/>
  <c r="H31" i="13"/>
  <c r="J22" i="2"/>
  <c r="J8" i="2"/>
  <c r="K8" i="2" s="1"/>
  <c r="L8" i="2" s="1"/>
  <c r="H6" i="2"/>
  <c r="S93" i="2"/>
  <c r="T93" i="2" s="1"/>
  <c r="H55" i="13" s="1"/>
  <c r="N4" i="2"/>
  <c r="R4" i="2" s="1"/>
  <c r="S4" i="2" s="1"/>
  <c r="T4" i="2" s="1"/>
  <c r="N92" i="2"/>
  <c r="R92" i="2" s="1"/>
  <c r="S92" i="2" s="1"/>
  <c r="T92" i="2" s="1"/>
  <c r="H54" i="13" s="1"/>
  <c r="K86" i="2"/>
  <c r="L86" i="2" s="1"/>
  <c r="T69" i="2"/>
  <c r="H40" i="13" s="1"/>
  <c r="H85" i="2"/>
  <c r="J85" i="2" s="1"/>
  <c r="K85" i="2" s="1"/>
  <c r="L85" i="2" s="1"/>
  <c r="L84" i="2"/>
  <c r="N84" i="2" s="1"/>
  <c r="R84" i="2" s="1"/>
  <c r="S84" i="2" s="1"/>
  <c r="T84" i="2" s="1"/>
  <c r="H53" i="13" s="1"/>
  <c r="L105" i="2"/>
  <c r="N105" i="2" s="1"/>
  <c r="R105" i="2" s="1"/>
  <c r="S105" i="2" s="1"/>
  <c r="T105" i="2" s="1"/>
  <c r="H69" i="13" s="1"/>
  <c r="N7" i="2"/>
  <c r="R7" i="2" s="1"/>
  <c r="L33" i="2"/>
  <c r="N33" i="2" s="1"/>
  <c r="R33" i="2" s="1"/>
  <c r="S33" i="2" s="1"/>
  <c r="T33" i="2" s="1"/>
  <c r="K88" i="2"/>
  <c r="L88" i="2" s="1"/>
  <c r="N88" i="2" s="1"/>
  <c r="K16" i="2"/>
  <c r="L16" i="2" s="1"/>
  <c r="N16" i="2" s="1"/>
  <c r="R16" i="2" s="1"/>
  <c r="S16" i="2" s="1"/>
  <c r="T16" i="2" s="1"/>
  <c r="T15" i="2" s="1"/>
  <c r="H4" i="13" s="1"/>
  <c r="L13" i="2"/>
  <c r="N13" i="2" s="1"/>
  <c r="R13" i="2" s="1"/>
  <c r="S13" i="2" s="1"/>
  <c r="T13" i="2" s="1"/>
  <c r="R9" i="2"/>
  <c r="S9" i="2" s="1"/>
  <c r="T9" i="2" s="1"/>
  <c r="H21" i="13" s="1"/>
  <c r="K5" i="2"/>
  <c r="L5" i="2" s="1"/>
  <c r="K14" i="2"/>
  <c r="L14" i="2" s="1"/>
  <c r="N14" i="2" s="1"/>
  <c r="R14" i="2" s="1"/>
  <c r="S14" i="2" s="1"/>
  <c r="T14" i="2" s="1"/>
  <c r="N76" i="2"/>
  <c r="R76" i="2" s="1"/>
  <c r="S76" i="2" s="1"/>
  <c r="T76" i="2" s="1"/>
  <c r="H39" i="13" s="1"/>
  <c r="R115" i="2"/>
  <c r="S115" i="2" s="1"/>
  <c r="T115" i="2" s="1"/>
  <c r="T114" i="2" s="1"/>
  <c r="H76" i="13" s="1"/>
  <c r="K41" i="2"/>
  <c r="L41" i="2" s="1"/>
  <c r="N41" i="2" s="1"/>
  <c r="R41" i="2" s="1"/>
  <c r="S41" i="2" s="1"/>
  <c r="T41" i="2" s="1"/>
  <c r="T40" i="2" s="1"/>
  <c r="H23" i="13" s="1"/>
  <c r="N47" i="2"/>
  <c r="R47" i="2" s="1"/>
  <c r="S47" i="2" s="1"/>
  <c r="T47" i="2" s="1"/>
  <c r="R32" i="2"/>
  <c r="S32" i="2" s="1"/>
  <c r="T32" i="2" s="1"/>
  <c r="H11" i="13" s="1"/>
  <c r="S31" i="2"/>
  <c r="T31" i="2" s="1"/>
  <c r="H22" i="13" s="1"/>
  <c r="S108" i="2"/>
  <c r="T108" i="2" s="1"/>
  <c r="H70" i="13" s="1"/>
  <c r="S106" i="2"/>
  <c r="T106" i="2" s="1"/>
  <c r="H67" i="13" s="1"/>
  <c r="L46" i="2"/>
  <c r="N46" i="2" s="1"/>
  <c r="R46" i="2" s="1"/>
  <c r="S46" i="2" s="1"/>
  <c r="T46" i="2" s="1"/>
  <c r="L51" i="2"/>
  <c r="N51" i="2" s="1"/>
  <c r="R51" i="2" s="1"/>
  <c r="S51" i="2" s="1"/>
  <c r="T51" i="2" s="1"/>
  <c r="L74" i="2"/>
  <c r="N74" i="2" s="1"/>
  <c r="R74" i="2" s="1"/>
  <c r="S74" i="2" s="1"/>
  <c r="T74" i="2" s="1"/>
  <c r="L73" i="2"/>
  <c r="N73" i="2" s="1"/>
  <c r="R73" i="2" s="1"/>
  <c r="S73" i="2" s="1"/>
  <c r="T73" i="2" s="1"/>
  <c r="L50" i="2"/>
  <c r="N50" i="2" s="1"/>
  <c r="R50" i="2" s="1"/>
  <c r="S50" i="2" s="1"/>
  <c r="T50" i="2" s="1"/>
  <c r="L48" i="2"/>
  <c r="N48" i="2" s="1"/>
  <c r="R48" i="2" s="1"/>
  <c r="L127" i="2"/>
  <c r="N127" i="2" s="1"/>
  <c r="R127" i="2" s="1"/>
  <c r="L83" i="2"/>
  <c r="N83" i="2" s="1"/>
  <c r="R83" i="2" s="1"/>
  <c r="S83" i="2" s="1"/>
  <c r="T83" i="2" s="1"/>
  <c r="H52" i="13" s="1"/>
  <c r="N67" i="2"/>
  <c r="R67" i="2" s="1"/>
  <c r="S67" i="2" s="1"/>
  <c r="T67" i="2" s="1"/>
  <c r="H34" i="13" s="1"/>
  <c r="L30" i="2"/>
  <c r="N30" i="2" s="1"/>
  <c r="R30" i="2" s="1"/>
  <c r="L10" i="2"/>
  <c r="N10" i="2" s="1"/>
  <c r="R10" i="2" s="1"/>
  <c r="H27" i="13" l="1"/>
  <c r="K22" i="2"/>
  <c r="L22" i="2" s="1"/>
  <c r="N22" i="2" s="1"/>
  <c r="N86" i="2"/>
  <c r="R86" i="2" s="1"/>
  <c r="S86" i="2" s="1"/>
  <c r="T86" i="2" s="1"/>
  <c r="H48" i="13" s="1"/>
  <c r="T72" i="2"/>
  <c r="H41" i="13" s="1"/>
  <c r="N85" i="2"/>
  <c r="R85" i="2" s="1"/>
  <c r="S85" i="2" s="1"/>
  <c r="T85" i="2" s="1"/>
  <c r="H47" i="13" s="1"/>
  <c r="T49" i="2"/>
  <c r="H15" i="13" s="1"/>
  <c r="T12" i="2"/>
  <c r="H7" i="13" s="1"/>
  <c r="R88" i="2"/>
  <c r="S88" i="2" s="1"/>
  <c r="T88" i="2" s="1"/>
  <c r="H46" i="13" s="1"/>
  <c r="S7" i="2"/>
  <c r="T7" i="2" s="1"/>
  <c r="N8" i="2"/>
  <c r="R8" i="2" s="1"/>
  <c r="S8" i="2" s="1"/>
  <c r="T8" i="2" s="1"/>
  <c r="S30" i="2"/>
  <c r="T30" i="2" s="1"/>
  <c r="N5" i="2"/>
  <c r="R5" i="2" s="1"/>
  <c r="S127" i="2"/>
  <c r="T127" i="2" s="1"/>
  <c r="T124" i="2" s="1"/>
  <c r="H72" i="13" s="1"/>
  <c r="S10" i="2"/>
  <c r="T10" i="2" s="1"/>
  <c r="H9" i="13" s="1"/>
  <c r="S48" i="2"/>
  <c r="T48" i="2" s="1"/>
  <c r="T45" i="2" s="1"/>
  <c r="H14" i="13" s="1"/>
  <c r="R22" i="2" l="1"/>
  <c r="S22" i="2" s="1"/>
  <c r="T22" i="2" s="1"/>
  <c r="T18" i="2" s="1"/>
  <c r="H28" i="13" s="1"/>
  <c r="T6" i="2"/>
  <c r="H6" i="13" s="1"/>
  <c r="S5" i="2"/>
  <c r="T5" i="2" s="1"/>
  <c r="T3" i="2" s="1"/>
  <c r="H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tc={CD7BC846-4679-4F13-817E-B7E2B7285BDB}</author>
    <author>tc={F62E6069-C249-4131-A569-EEDFDB1ED262}</author>
    <author>tc={98BC736A-185C-411E-B487-BD63CB5B3253}</author>
    <author>tc={9A08AC05-CA41-4F91-B92A-49E5B4F94BD8}</author>
    <author>tc={35A2BCD6-EBA9-4AA8-9300-388F51AB29B4}</author>
    <author>tc={DF12C2B7-5979-4183-B596-857664BEF5E0}</author>
    <author>tc={5F68313E-6942-4D8A-B179-9FCA885F7744}</author>
    <author>tc={47737930-517C-40B4-B624-10E62D03D532}</author>
    <author>tc={375AE2C0-B882-478B-B1F2-4B97B973A19E}</author>
    <author>tc={A6639FE6-79D6-465B-AB21-3B69F943D701}</author>
    <author>tc={2B80D8EF-0051-49B2-8402-760ED92A7321}</author>
    <author>tc={4EB5F33D-F359-4DF5-BA8F-CFB9692EB188}</author>
    <author>tc={B7D87BBE-20EE-4021-9406-DC5C1855CB2F}</author>
    <author>tc={1FEAB72E-636B-453A-A8F4-E8B62D2A0DFC}</author>
    <author>tc={8E849704-3446-4F9C-A6A3-C494013AE107}</author>
    <author>tc={06DAFFFA-077B-4848-AA21-2EDEC00CA5D4}</author>
    <author>tc={E0EF451C-14DE-4D0E-AAFD-430A7F184EA6}</author>
    <author>tc={9EBE63A5-C859-4223-B2B0-735A5136DC68}</author>
    <author>tc={F599D5E6-3407-4FF6-940E-949089DA409E}</author>
    <author>tc={7C6406DC-5CE4-4408-B430-40CCFCA3C7E1}</author>
    <author>tc={28F6AE75-85EB-4AF5-ABD2-C6C5F64AB438}</author>
    <author>tc={6FC9051D-7434-4163-8D0F-2B380D59928F}</author>
    <author>tc={FD5A40FC-C377-49E3-AD0E-07A2D9D6FDB1}</author>
    <author>tc={3104552C-0AAC-48AC-8032-DFDF63927257}</author>
    <author>tc={3128A740-B95D-4C12-98A9-94EB9FC66FB4}</author>
    <author>tc={E79DF30A-3B26-4C15-B5D0-8AD76EB0EE52}</author>
    <author>tc={E4AD05A8-6E51-4943-8275-7451D251289D}</author>
    <author>tc={98C476EF-8F61-4239-A501-D175F11A4EB9}</author>
    <author>tc={5EDA90F9-E5DE-446F-BE6D-3C2A53F5D5C3}</author>
    <author>tc={9D9F3B53-330B-460F-9143-D9DFF0728D2F}</author>
    <author>tc={C14D4B78-B5D2-4D56-86E7-B4D343808AD6}</author>
    <author>tc={E4D93490-52DA-458F-87AC-69CBB63E3E12}</author>
    <author>tc={7617CF69-2775-47C7-810F-8D9A725CEEA8}</author>
    <author>tc={260796F5-733C-4929-8E82-44A297A4CC7B}</author>
    <author>tc={44BD3EB8-61D0-4551-A674-444DE29A897F}</author>
    <author>tc={21B306EF-C5FA-4ACD-B52F-CF397D46F4BC}</author>
    <author>tc={81A2EDE8-FA34-4A9D-B233-63CF7BD21340}</author>
    <author>tc={5F59F3C3-28AE-4969-8992-89BF5F06D65F}</author>
    <author>tc={B6AF9391-F3D8-4E76-87E1-DF2F660DB231}</author>
    <author>tc={AE3D7EEC-7682-4AFB-847A-2EA8AD1A1220}</author>
    <author>tc={06A21ED1-32E0-4D66-874E-C57BFEBC2851}</author>
    <author>tc={7076B424-E41F-4C2C-A123-246C78EAFFED}</author>
    <author>tc={44E77BCF-2B21-4502-B665-5B03C10233B0}</author>
    <author>tc={93D209C2-9ABF-4CEE-8F61-6F40F630AAA6}</author>
    <author>tc={9FCFF839-22EF-4702-9266-2C16E1F59D56}</author>
    <author>tc={00424086-E236-403D-AF04-6A916881E988}</author>
    <author>tc={1EA5EA24-4775-4AA7-897A-433F4E1AE1A8}</author>
    <author>tc={A1927DAB-287C-416F-A19B-F7F73A302712}</author>
    <author>tc={023DABD2-35C6-43FE-B437-443AC48F5BC7}</author>
  </authors>
  <commentList>
    <comment ref="I3" authorId="0" shapeId="0" xr:uid="{CD7BC846-4679-4F13-817E-B7E2B7285BDB}">
      <text>
        <t>[Threaded comment]
Your version of Excel allows you to read this threaded comment; however, any edits to it will get removed if the file is opened in a newer version of Excel. Learn more: https://go.microsoft.com/fwlink/?linkid=870924
Comment:
    Short List 7/10/2020: -	GFA = 1,540m2 (25m2 per room x 50 rooms, services 150m2, 15% circulation or 140m2, (excludes commercial kitchen which is in hub). This is a 3.5 star/eco experience type facility.</t>
      </text>
    </comment>
    <comment ref="I4" authorId="1" shapeId="0" xr:uid="{F62E6069-C249-4131-A569-EEDFDB1ED262}">
      <text>
        <t>[Threaded comment]
Your version of Excel allows you to read this threaded comment; however, any edits to it will get removed if the file is opened in a newer version of Excel. Learn more: https://go.microsoft.com/fwlink/?linkid=870924
Comment:
    Short List 7/10/2020: -	GFA = 1,540m2 (25m2 per room x 50 rooms, services 150m2, 15% circulation or 140m2, (excludes commercial kitchen which is in hub). This is a 3.5 star/eco experience type facility.</t>
      </text>
    </comment>
    <comment ref="H5" authorId="2" shapeId="0" xr:uid="{98BC736A-185C-411E-B487-BD63CB5B3253}">
      <text>
        <t>[Threaded comment]
Your version of Excel allows you to read this threaded comment; however, any edits to it will get removed if the file is opened in a newer version of Excel. Learn more: https://go.microsoft.com/fwlink/?linkid=870924
Comment:
    Assume 10% uplift in structural requirements to accomodate increased Safety Factor</t>
      </text>
    </comment>
    <comment ref="I5" authorId="3" shapeId="0" xr:uid="{9A08AC05-CA41-4F91-B92A-49E5B4F94BD8}">
      <text>
        <t>[Threaded comment]
Your version of Excel allows you to read this threaded comment; however, any edits to it will get removed if the file is opened in a newer version of Excel. Learn more: https://go.microsoft.com/fwlink/?linkid=870924
Comment:
    Short List 7/10/2020: -	GFA = 1,540m2 (25m2 per room x 50 rooms, services 150m2, 15% circulation or 140m2, (excludes commercial kitchen which is in hub). This is a 3.5 star/eco experience type facility.</t>
      </text>
    </comment>
    <comment ref="I7" authorId="4" shapeId="0" xr:uid="{35A2BCD6-EBA9-4AA8-9300-388F51AB29B4}">
      <text>
        <t>[Threaded comment]
Your version of Excel allows you to read this threaded comment; however, any edits to it will get removed if the file is opened in a newer version of Excel. Learn more: https://go.microsoft.com/fwlink/?linkid=870924
Comment:
    Short List 7/10/2020: -	-	Assumes 320 residents (at peak). A combined GFA of circa a max of 6,100m2 (long and short stay/singles and couples). Important Note: bunk rooms and shared toilets would significantly lower this calculation. For example, having 100 people in a shared room could reduce the GFA by more than 1,500m2. 
-	15m2 per room average x 320 4,800m2, 100m2 kitchens, 385m2 dinning, social areas 200m2 service areas 40m2, 10% circulation 552.5m2
Reply:
    Assumed that shared accomodation model will be adopted with 6100m2 - 1000m2 used.</t>
      </text>
    </comment>
    <comment ref="H8" authorId="5" shapeId="0" xr:uid="{DF12C2B7-5979-4183-B596-857664BEF5E0}">
      <text>
        <t>[Threaded comment]
Your version of Excel allows you to read this threaded comment; however, any edits to it will get removed if the file is opened in a newer version of Excel. Learn more: https://go.microsoft.com/fwlink/?linkid=870924
Comment:
    Assume 10% uplift in structural requirements to accomodate increased Safety Factor</t>
      </text>
    </comment>
    <comment ref="I8" authorId="6" shapeId="0" xr:uid="{5F68313E-6942-4D8A-B179-9FCA885F7744}">
      <text>
        <t>[Threaded comment]
Your version of Excel allows you to read this threaded comment; however, any edits to it will get removed if the file is opened in a newer version of Excel. Learn more: https://go.microsoft.com/fwlink/?linkid=870924
Comment:
    Short List 7/10/2020: -	-	Assumes 320 residents (at peak). A combined GFA of circa a max of 6,100m2 (long and short stay/singles and couples). Important Note: bunk rooms and shared toilets would significantly lower this calculation. For example, having 100 people in a shared room could reduce the GFA by more than 1,500m2. 
-	15m2 per room average x 320 4,800m2, 100m2 kitchens, 385m2 dinning, social areas 200m2 service areas 40m2, 10% circulation 552.5m2
Reply:
    Assumed that shared accomodation model will be adopted with 6100m2 - 1000m2 used.</t>
      </text>
    </comment>
    <comment ref="H12" authorId="7" shapeId="0" xr:uid="{47737930-517C-40B4-B624-10E62D03D532}">
      <text>
        <t>[Threaded comment]
Your version of Excel allows you to read this threaded comment; however, any edits to it will get removed if the file is opened in a newer version of Excel. Learn more: https://go.microsoft.com/fwlink/?linkid=870924
Comment:
    @Bishop, Shane there are two structures/parts, namely the visitor hub and marine centre in the shortlist - I think we should cost separately even if they are built into parts of same building
Reply:
    Agreed</t>
      </text>
    </comment>
    <comment ref="I12" authorId="8" shapeId="0" xr:uid="{375AE2C0-B882-478B-B1F2-4B97B973A19E}">
      <text>
        <t>[Threaded comment]
Your version of Excel allows you to read this threaded comment; however, any edits to it will get removed if the file is opened in a newer version of Excel. Learn more: https://go.microsoft.com/fwlink/?linkid=870924
Comment:
    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
Reply:
    Assessed as the footprint required for the Marine Interpretive Centre</t>
      </text>
    </comment>
    <comment ref="H13" authorId="9" shapeId="0" xr:uid="{A6639FE6-79D6-465B-AB21-3B69F943D701}">
      <text>
        <t>[Threaded comment]
Your version of Excel allows you to read this threaded comment; however, any edits to it will get removed if the file is opened in a newer version of Excel. Learn more: https://go.microsoft.com/fwlink/?linkid=870924
Comment:
    @Bishop, Shane there are two structures/parts, namely the visitor hub and marine centre in the shortlist - I think we should cost separately even if they are built into parts of same building</t>
      </text>
    </comment>
    <comment ref="I13" authorId="10" shapeId="0" xr:uid="{2B80D8EF-0051-49B2-8402-760ED92A7321}">
      <text>
        <t>[Threaded comment]
Your version of Excel allows you to read this threaded comment; however, any edits to it will get removed if the file is opened in a newer version of Excel. Learn more: https://go.microsoft.com/fwlink/?linkid=870924
Comment:
    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
Reply:
    Assessed as the footprint required for the Marine Interpretive Centre</t>
      </text>
    </comment>
    <comment ref="H14" authorId="11" shapeId="0" xr:uid="{4EB5F33D-F359-4DF5-BA8F-CFB9692EB188}">
      <text>
        <t>[Threaded comment]
Your version of Excel allows you to read this threaded comment; however, any edits to it will get removed if the file is opened in a newer version of Excel. Learn more: https://go.microsoft.com/fwlink/?linkid=870924
Comment:
    Assume 10% uplift in structural requirements to accomodate increased Safety Factor</t>
      </text>
    </comment>
    <comment ref="I14" authorId="12" shapeId="0" xr:uid="{B7D87BBE-20EE-4021-9406-DC5C1855CB2F}">
      <text>
        <t>[Threaded comment]
Your version of Excel allows you to read this threaded comment; however, any edits to it will get removed if the file is opened in a newer version of Excel. Learn more: https://go.microsoft.com/fwlink/?linkid=870924
Comment:
    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
Reply:
    Assessed as the footprint required for the Marine Interpretive Centre</t>
      </text>
    </comment>
    <comment ref="I15" authorId="13" shapeId="0" xr:uid="{1FEAB72E-636B-453A-A8F4-E8B62D2A0DFC}">
      <text>
        <t>[Threaded comment]
Your version of Excel allows you to read this threaded comment; however, any edits to it will get removed if the file is opened in a newer version of Excel. Learn more: https://go.microsoft.com/fwlink/?linkid=870924
Comment:
    From the Short List, nominated as 1,800 m2</t>
      </text>
    </comment>
    <comment ref="I16" authorId="14" shapeId="0" xr:uid="{8E849704-3446-4F9C-A6A3-C494013AE107}">
      <text>
        <t>[Threaded comment]
Your version of Excel allows you to read this threaded comment; however, any edits to it will get removed if the file is opened in a newer version of Excel. Learn more: https://go.microsoft.com/fwlink/?linkid=870924
Comment:
    From the Short List, nominated as 1,800 m2</t>
      </text>
    </comment>
    <comment ref="H17" authorId="15" shapeId="0" xr:uid="{06DAFFFA-077B-4848-AA21-2EDEC00CA5D4}">
      <text>
        <t>[Threaded comment]
Your version of Excel allows you to read this threaded comment; however, any edits to it will get removed if the file is opened in a newer version of Excel. Learn more: https://go.microsoft.com/fwlink/?linkid=870924
Comment:
    Assume 10% uplift in structural requirements to accomodate increased Safety Factor</t>
      </text>
    </comment>
    <comment ref="I17" authorId="16" shapeId="0" xr:uid="{E0EF451C-14DE-4D0E-AAFD-430A7F184EA6}">
      <text>
        <t>[Threaded comment]
Your version of Excel allows you to read this threaded comment; however, any edits to it will get removed if the file is opened in a newer version of Excel. Learn more: https://go.microsoft.com/fwlink/?linkid=870924
Comment:
    From the Short List, nominated as 1,800 m2</t>
      </text>
    </comment>
    <comment ref="I19" authorId="17" shapeId="0" xr:uid="{9EBE63A5-C859-4223-B2B0-735A5136DC68}">
      <text>
        <t>[Threaded comment]
Your version of Excel allows you to read this threaded comment; however, any edits to it will get removed if the file is opened in a newer version of Excel. Learn more: https://go.microsoft.com/fwlink/?linkid=870924
Comment:
    Scale: Light touch – under 100m2 (links with 2.1).
Administration of a public boat ramp is incorporated into the design, along with potential community facilities.
or 
3.4b) Enhance deep water basin commercial/ recreational wharf, including optimising boat ramp management	GFA of 600m2
Allow for 350m2
Reply:
    Add 300m2 for operations</t>
      </text>
    </comment>
    <comment ref="H29" authorId="18" shapeId="0" xr:uid="{F599D5E6-3407-4FF6-940E-949089DA409E}">
      <text>
        <t>[Threaded comment]
Your version of Excel allows you to read this threaded comment; however, any edits to it will get removed if the file is opened in a newer version of Excel. Learn more: https://go.microsoft.com/fwlink/?linkid=870924
Comment:
    estimate on the basis of a robust bus shelter and a toliet block</t>
      </text>
    </comment>
    <comment ref="I30" authorId="19" shapeId="0" xr:uid="{7C6406DC-5CE4-4408-B430-40CCFCA3C7E1}">
      <text>
        <t>[Threaded comment]
Your version of Excel allows you to read this threaded comment; however, any edits to it will get removed if the file is opened in a newer version of Excel. Learn more: https://go.microsoft.com/fwlink/?linkid=870924
Comment:
    realignment of the taxiway and terminal space</t>
      </text>
    </comment>
    <comment ref="I31" authorId="20" shapeId="0" xr:uid="{28F6AE75-85EB-4AF5-ABD2-C6C5F64AB438}">
      <text>
        <t>[Threaded comment]
Your version of Excel allows you to read this threaded comment; however, any edits to it will get removed if the file is opened in a newer version of Excel. Learn more: https://go.microsoft.com/fwlink/?linkid=870924
Comment:
    allowance for 200 carpark spaces</t>
      </text>
    </comment>
    <comment ref="H32" authorId="21" shapeId="0" xr:uid="{6FC9051D-7434-4163-8D0F-2B380D59928F}">
      <text>
        <t>[Threaded comment]
Your version of Excel allows you to read this threaded comment; however, any edits to it will get removed if the file is opened in a newer version of Excel. Learn more: https://go.microsoft.com/fwlink/?linkid=870924
Comment:
    75% of Carriageway figure as reduced width (15m compared to 20m)</t>
      </text>
    </comment>
    <comment ref="I41" authorId="22" shapeId="0" xr:uid="{FD5A40FC-C377-49E3-AD0E-07A2D9D6FDB1}">
      <text>
        <t>[Threaded comment]
Your version of Excel allows you to read this threaded comment; however, any edits to it will get removed if the file is opened in a newer version of Excel. Learn more: https://go.microsoft.com/fwlink/?linkid=870924
Comment:
    assessed as 1500m2 and 80m2 per bus storage (refer to Go Bus storage depot, Chch in Te Anau TAB)</t>
      </text>
    </comment>
    <comment ref="I47" authorId="23" shapeId="0" xr:uid="{3104552C-0AAC-48AC-8032-DFDF63927257}">
      <text>
        <t>[Threaded comment]
Your version of Excel allows you to read this threaded comment; however, any edits to it will get removed if the file is opened in a newer version of Excel. Learn more: https://go.microsoft.com/fwlink/?linkid=870924
Comment:
    Assumes Manholes at 80m intervals on average</t>
      </text>
    </comment>
    <comment ref="I51" authorId="24" shapeId="0" xr:uid="{3128A740-B95D-4C12-98A9-94EB9FC66FB4}">
      <text>
        <t>[Threaded comment]
Your version of Excel allows you to read this threaded comment; however, any edits to it will get removed if the file is opened in a newer version of Excel. Learn more: https://go.microsoft.com/fwlink/?linkid=870924
Comment:
    assumes a valve or hydrant at 135m intervals</t>
      </text>
    </comment>
    <comment ref="I60" authorId="25" shapeId="0" xr:uid="{E79DF30A-3B26-4C15-B5D0-8AD76EB0EE52}">
      <text>
        <t>[Threaded comment]
Your version of Excel allows you to read this threaded comment; however, any edits to it will get removed if the file is opened in a newer version of Excel. Learn more: https://go.microsoft.com/fwlink/?linkid=870924
Comment:
    Approx. measure at 2400m with an addition of 50% for variance in the alignment and for structures</t>
      </text>
    </comment>
    <comment ref="T61" authorId="26" shapeId="0" xr:uid="{E4AD05A8-6E51-4943-8275-7451D251289D}">
      <text>
        <t>[Threaded comment]
Your version of Excel allows you to read this threaded comment; however, any edits to it will get removed if the file is opened in a newer version of Excel. Learn more: https://go.microsoft.com/fwlink/?linkid=870924
Comment:
    From Craig Jones</t>
      </text>
    </comment>
    <comment ref="I67" authorId="27" shapeId="0" xr:uid="{98C476EF-8F61-4239-A501-D175F11A4EB9}">
      <text>
        <t>[Threaded comment]
Your version of Excel allows you to read this threaded comment; however, any edits to it will get removed if the file is opened in a newer version of Excel. Learn more: https://go.microsoft.com/fwlink/?linkid=870924
Comment:
    Short List 7/10/2020: -	Could be one open sided timber structure or separated into 3-4 dispersed or clustered modules of circa 50m2 -66m2.  therefore allow for (4 * 66 + 25%) 330m2 allowed for</t>
      </text>
    </comment>
    <comment ref="I71" authorId="28" shapeId="0" xr:uid="{5EDA90F9-E5DE-446F-BE6D-3C2A53F5D5C3}">
      <text>
        <t>[Threaded comment]
Your version of Excel allows you to read this threaded comment; however, any edits to it will get removed if the file is opened in a newer version of Excel. Learn more: https://go.microsoft.com/fwlink/?linkid=870924
Comment:
    assumes a valve or hydrant at 135m intervals</t>
      </text>
    </comment>
    <comment ref="I74" authorId="29" shapeId="0" xr:uid="{9D9F3B53-330B-460F-9143-D9DFF0728D2F}">
      <text>
        <t>[Threaded comment]
Your version of Excel allows you to read this threaded comment; however, any edits to it will get removed if the file is opened in a newer version of Excel. Learn more: https://go.microsoft.com/fwlink/?linkid=870924
Comment:
    Assumes Manholes at 80m intervals on average</t>
      </text>
    </comment>
    <comment ref="T89" authorId="30" shapeId="0" xr:uid="{C14D4B78-B5D2-4D56-86E7-B4D343808AD6}">
      <text>
        <t>[Threaded comment]
Your version of Excel allows you to read this threaded comment; however, any edits to it will get removed if the file is opened in a newer version of Excel. Learn more: https://go.microsoft.com/fwlink/?linkid=870924
Comment:
    From Craig Jones</t>
      </text>
    </comment>
    <comment ref="I90" authorId="31" shapeId="0" xr:uid="{E4D93490-52DA-458F-87AC-69CBB63E3E12}">
      <text>
        <t>[Threaded comment]
Your version of Excel allows you to read this threaded comment; however, any edits to it will get removed if the file is opened in a newer version of Excel. Learn more: https://go.microsoft.com/fwlink/?linkid=870924
Comment:
    length of highway between the two locations</t>
      </text>
    </comment>
    <comment ref="I91" authorId="32" shapeId="0" xr:uid="{7617CF69-2775-47C7-810F-8D9A725CEEA8}">
      <text>
        <t>[Threaded comment]
Your version of Excel allows you to read this threaded comment; however, any edits to it will get removed if the file is opened in a newer version of Excel. Learn more: https://go.microsoft.com/fwlink/?linkid=870924
Comment:
    length of highway between the two locations</t>
      </text>
    </comment>
    <comment ref="I92" authorId="33" shapeId="0" xr:uid="{260796F5-733C-4929-8E82-44A297A4CC7B}">
      <text>
        <t>[Threaded comment]
Your version of Excel allows you to read this threaded comment; however, any edits to it will get removed if the file is opened in a newer version of Excel. Learn more: https://go.microsoft.com/fwlink/?linkid=870924
Comment:
    Estimated GFA 200m2 front of house (TBC). 
•	Audio-visual / seminar room –80m2
•	Viewing room with interpretation(views over water, light, high stud) 50m2
•	Office 20m2
•	Entry / reception 50m2</t>
      </text>
    </comment>
    <comment ref="F97" authorId="34" shapeId="0" xr:uid="{44BD3EB8-61D0-4551-A674-444DE29A897F}">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F98" authorId="35" shapeId="0" xr:uid="{21B306EF-C5FA-4ACD-B52F-CF397D46F4BC}">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F99" authorId="36" shapeId="0" xr:uid="{81A2EDE8-FA34-4A9D-B233-63CF7BD21340}">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F100" authorId="37" shapeId="0" xr:uid="{5F59F3C3-28AE-4969-8992-89BF5F06D65F}">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F102" authorId="38" shapeId="0" xr:uid="{B6AF9391-F3D8-4E76-87E1-DF2F660DB231}">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F103" authorId="39" shapeId="0" xr:uid="{AE3D7EEC-7682-4AFB-847A-2EA8AD1A1220}">
      <text>
        <t>[Threaded comment]
Your version of Excel allows you to read this threaded comment; however, any edits to it will get removed if the file is opened in a newer version of Excel. Learn more: https://go.microsoft.com/fwlink/?linkid=870924
Comment:
    refer Corridor Tab for information</t>
      </text>
    </comment>
    <comment ref="I106" authorId="40" shapeId="0" xr:uid="{06A21ED1-32E0-4D66-874E-C57BFEBC2851}">
      <text>
        <t>[Threaded comment]
Your version of Excel allows you to read this threaded comment; however, any edits to it will get removed if the file is opened in a newer version of Excel. Learn more: https://go.microsoft.com/fwlink/?linkid=870924
Comment:
    compared as the size of the existing facility in Te Anau</t>
      </text>
    </comment>
    <comment ref="I109" authorId="41" shapeId="0" xr:uid="{7076B424-E41F-4C2C-A123-246C78EAFFED}">
      <text>
        <t>[Threaded comment]
Your version of Excel allows you to read this threaded comment; however, any edits to it will get removed if the file is opened in a newer version of Excel. Learn more: https://go.microsoft.com/fwlink/?linkid=870924
Comment:
    allowance for modifications that may be required to existing roads to accomodate the vehicle fleet</t>
      </text>
    </comment>
    <comment ref="I110" authorId="42" shapeId="0" xr:uid="{44E77BCF-2B21-4502-B665-5B03C10233B0}">
      <text>
        <t>[Threaded comment]
Your version of Excel allows you to read this threaded comment; however, any edits to it will get removed if the file is opened in a newer version of Excel. Learn more: https://go.microsoft.com/fwlink/?linkid=870924
Comment:
    Vingrys, Saulius Email 20/10/2020 "The bus fleet is pretty large, 156 buses in total during the peak season – 148 buses at Te Anau and 8 buses at Piopiotahi. We will also require approximately 25-30 bus parking spaces for buses that arrived to Piopiotahi and wait for the afternoon departure peak. Please see below –  two scenarios plotted below showing the change in bus numbers at Te Anau and Piopiotahi throughout the day. This is an indication and can probably be further refined. There will have to be two areas at Piopiotahi and Te Anau – one for bus drop-off and pick-up and another for bus parking (overnight or for a few hours)."</t>
      </text>
    </comment>
    <comment ref="I111" authorId="43" shapeId="0" xr:uid="{93D209C2-9ABF-4CEE-8F61-6F40F630AAA6}">
      <text>
        <t>[Threaded comment]
Your version of Excel allows you to read this threaded comment; however, any edits to it will get removed if the file is opened in a newer version of Excel. Learn more: https://go.microsoft.com/fwlink/?linkid=870924
Comment:
    Vingrys, Saulius Email 20/10/2020 "The bus fleet is pretty large, 156 buses in total during the peak season – 148 buses at Te Anau and 8 buses at Piopiotahi. We will also require approximately 25-30 bus parking spaces for buses that arrived to Piopiotahi and wait for the afternoon departure peak. Please see below –  two scenarios plotted below showing the change in bus numbers at Te Anau and Piopiotahi throughout the day. This is an indication and can probably be further refined. There will have to be two areas at Piopiotahi and Te Anau – one for bus drop-off and pick-up and another for bus parking (overnight or for a few hours)."</t>
      </text>
    </comment>
    <comment ref="I115" authorId="44" shapeId="0" xr:uid="{9FCFF839-22EF-4702-9266-2C16E1F59D56}">
      <text>
        <t>[Threaded comment]
Your version of Excel allows you to read this threaded comment; however, any edits to it will get removed if the file is opened in a newer version of Excel. Learn more: https://go.microsoft.com/fwlink/?linkid=870924
Comment:
    assessed as 2500m2 and 80m2 per bus storage (refer to Go Bus storage depot, Chch in Te Anau TAB)</t>
      </text>
    </comment>
    <comment ref="H119" authorId="45" shapeId="0" xr:uid="{00424086-E236-403D-AF04-6A916881E988}">
      <text>
        <t>[Threaded comment]
Your version of Excel allows you to read this threaded comment; however, any edits to it will get removed if the file is opened in a newer version of Excel. Learn more: https://go.microsoft.com/fwlink/?linkid=870924
Comment:
    allows for 20m2 per lot for land purchase</t>
      </text>
    </comment>
    <comment ref="I122" authorId="46" shapeId="0" xr:uid="{1EA5EA24-4775-4AA7-897A-433F4E1AE1A8}">
      <text>
        <t>[Threaded comment]
Your version of Excel allows you to read this threaded comment; however, any edits to it will get removed if the file is opened in a newer version of Excel. Learn more: https://go.microsoft.com/fwlink/?linkid=870924
Comment:
    Assumes Manholes at 80m intervals on average</t>
      </text>
    </comment>
    <comment ref="I127" authorId="47" shapeId="0" xr:uid="{A1927DAB-287C-416F-A19B-F7F73A302712}">
      <text>
        <t>[Threaded comment]
Your version of Excel allows you to read this threaded comment; however, any edits to it will get removed if the file is opened in a newer version of Excel. Learn more: https://go.microsoft.com/fwlink/?linkid=870924
Comment:
    assumes a valve or hydrant at 135m intervals</t>
      </text>
    </comment>
    <comment ref="T129" authorId="48" shapeId="0" xr:uid="{023DABD2-35C6-43FE-B437-443AC48F5BC7}">
      <text>
        <t>[Threaded comment]
Your version of Excel allows you to read this threaded comment; however, any edits to it will get removed if the file is opened in a newer version of Excel. Learn more: https://go.microsoft.com/fwlink/?linkid=870924
Comment:
    From Craig Jones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tc={2C055495-8497-44C9-93FC-01AF45894521}</author>
    <author>tc={2D6458FE-CB8F-4DC9-AEE5-61D01FD6BD86}</author>
  </authors>
  <commentList>
    <comment ref="E42" authorId="0" shapeId="0" xr:uid="{2C055495-8497-44C9-93FC-01AF45894521}">
      <text>
        <t>[Threaded comment]
Your version of Excel allows you to read this threaded comment; however, any edits to it will get removed if the file is opened in a newer version of Excel. Learn more: https://go.microsoft.com/fwlink/?linkid=870924
Comment:
    Typical Figure for WW Grav.</t>
      </text>
    </comment>
    <comment ref="E43" authorId="1" shapeId="0" xr:uid="{2D6458FE-CB8F-4DC9-AEE5-61D01FD6BD86}">
      <text>
        <t>[Threaded comment]
Your version of Excel allows you to read this threaded comment; however, any edits to it will get removed if the file is opened in a newer version of Excel. Learn more: https://go.microsoft.com/fwlink/?linkid=870924
Comment:
    Typical Figure for SW Grav. (increased size to WW and Conc. rather than PVC)</t>
      </text>
    </comment>
  </commentList>
</comments>
</file>

<file path=xl/sharedStrings.xml><?xml version="1.0" encoding="utf-8"?>
<sst xmlns="http://schemas.openxmlformats.org/spreadsheetml/2006/main" count="1381" uniqueCount="580">
  <si>
    <t>Tab Reference</t>
  </si>
  <si>
    <t>Comments</t>
  </si>
  <si>
    <t>Based on all activities within the Corridor selected</t>
  </si>
  <si>
    <t>Visitor Hub established in Te Anau</t>
  </si>
  <si>
    <t>Captial Costs for establishment of the options selected</t>
  </si>
  <si>
    <t>Cost Estimates</t>
  </si>
  <si>
    <t>Cost estimate build up for elements within the Summary Tables</t>
  </si>
  <si>
    <t>Built up on Base Rates (refer Reference Costings Tab), with uplift for location, uncertainty of scope, Contractor Contingencies, procurement, professional fees and contingency</t>
  </si>
  <si>
    <t>% uplift provided for certain elements and can be adjusted. These feed through the subsequent sheets</t>
  </si>
  <si>
    <t>Estimate of Build Start and Completion dates provided for the activities</t>
  </si>
  <si>
    <t>Reference Costings</t>
  </si>
  <si>
    <t>Base cost estimates for elements of work including supporting source.</t>
  </si>
  <si>
    <t>Where a source is not available then the items is identified as an estimate of works. This may be due to uncertainty of the extent and scope of the option selected/costed</t>
  </si>
  <si>
    <t>Orange cells show where costs are estimated and  source is not readily available to align with the option.</t>
  </si>
  <si>
    <t>Assumptions</t>
  </si>
  <si>
    <t>Documentation of base assessments (where possible) for measurements used in the Cost Estimate Tab</t>
  </si>
  <si>
    <t>Item</t>
  </si>
  <si>
    <t>Description</t>
  </si>
  <si>
    <t>Visitor Hub</t>
  </si>
  <si>
    <t>Deconstruction - Existing Hub</t>
  </si>
  <si>
    <t>Ferry Terminal</t>
  </si>
  <si>
    <t>Deconstruction - Ferry Terminal</t>
  </si>
  <si>
    <t>Deconstruction - Staff Accommodation</t>
  </si>
  <si>
    <t>Deconstruction - Airport Runway</t>
  </si>
  <si>
    <t>Accomodation - Visitors</t>
  </si>
  <si>
    <t>Accomodation - Staff</t>
  </si>
  <si>
    <t>Landscaping - Visitor Experience Hub - Piopiotahi</t>
  </si>
  <si>
    <t>Marine Centre</t>
  </si>
  <si>
    <t>Commercial Fishing Port</t>
  </si>
  <si>
    <t>Structures - Operations - Commercial port</t>
  </si>
  <si>
    <t>Structures - Bus Stop - Piopiotahi arrival</t>
  </si>
  <si>
    <t>Tracks &amp; observation points</t>
  </si>
  <si>
    <t>Aerodrome</t>
  </si>
  <si>
    <t>Pavements - Taxiway Realignment</t>
  </si>
  <si>
    <t>Parking</t>
  </si>
  <si>
    <t>Pavements - New Parking Area Sealed</t>
  </si>
  <si>
    <t>Road Realignment</t>
  </si>
  <si>
    <t>Pavements - Realignment (Arrival)</t>
  </si>
  <si>
    <t>Pavements - Runway reconstruction</t>
  </si>
  <si>
    <t>Transport Terminal</t>
  </si>
  <si>
    <t>Shuttles - Base of Operations</t>
  </si>
  <si>
    <t>Wastewater</t>
  </si>
  <si>
    <t>Potable Water</t>
  </si>
  <si>
    <t>Power</t>
  </si>
  <si>
    <t>Walking Track - Abled Body</t>
  </si>
  <si>
    <t>Bowen Falls Pontoon Walkway</t>
  </si>
  <si>
    <t xml:space="preserve">Kayak Landing point </t>
  </si>
  <si>
    <t>Corridor</t>
  </si>
  <si>
    <t>Homer Tunnel portals</t>
  </si>
  <si>
    <t>Homer Tunnel - Eastern Portal</t>
  </si>
  <si>
    <t>Homer Tunnel - Western Portal Loop 2</t>
  </si>
  <si>
    <t>Short Stops</t>
  </si>
  <si>
    <t>FNP threshold</t>
  </si>
  <si>
    <t>Corridor Experience - FNP Entrance / Departure</t>
  </si>
  <si>
    <t>Corridor Experience - Eglington Reveal Carpark</t>
  </si>
  <si>
    <t>Knobs flat experience hub</t>
  </si>
  <si>
    <t>Knobs Flat Accomodation - Cabins</t>
  </si>
  <si>
    <t>Knobs Flat Accomodation - Camping development</t>
  </si>
  <si>
    <t>Knobs Flat Flood Protection</t>
  </si>
  <si>
    <t>Knobs flat accommodation hub</t>
  </si>
  <si>
    <t>Kiosk Creek Accomodation - Lodge</t>
  </si>
  <si>
    <t>Knobs Flat Walking Track - Accessible</t>
  </si>
  <si>
    <t>Knobs Flat Walking Track - Abled Body</t>
  </si>
  <si>
    <t>Super track head</t>
  </si>
  <si>
    <t>Super Track Head - Experience Hub</t>
  </si>
  <si>
    <t>Walking Track - Lake Marian Loop</t>
  </si>
  <si>
    <t>Walking Track - Waterfall Loop</t>
  </si>
  <si>
    <t>Walking Track - Nature Loop</t>
  </si>
  <si>
    <t>Walking Track - Lake Howden - Upgrade</t>
  </si>
  <si>
    <t xml:space="preserve">Walking Track - Track Head to Key Summit </t>
  </si>
  <si>
    <t xml:space="preserve">Walking Track - Cascade Creek to Key Summit </t>
  </si>
  <si>
    <t>Te Anau</t>
  </si>
  <si>
    <t>Structures - Visitor Experience Hub - Te Anau</t>
  </si>
  <si>
    <t>Pavements - Visitor Experience Hub - Te Anau</t>
  </si>
  <si>
    <t>Structures - Bus Stop - Te Anau Departure</t>
  </si>
  <si>
    <t>Carriageway - Visitor Experience Hub - Te Anau</t>
  </si>
  <si>
    <t>Buses - Base of Operations - Building</t>
  </si>
  <si>
    <t>Buses - Base of Operations - Parking</t>
  </si>
  <si>
    <t>Pavements - Park and Ride - Te Anau</t>
  </si>
  <si>
    <t>Access Systems</t>
  </si>
  <si>
    <t>Shuttles - Capital Investment</t>
  </si>
  <si>
    <t>Buses - Capital Investment</t>
  </si>
  <si>
    <t>Baseline Year</t>
  </si>
  <si>
    <t>Location</t>
  </si>
  <si>
    <t>Category</t>
  </si>
  <si>
    <t>Comment</t>
  </si>
  <si>
    <t>Unit</t>
  </si>
  <si>
    <t>Unit_Price</t>
  </si>
  <si>
    <t>Quantity_Max</t>
  </si>
  <si>
    <t>Base_Cost</t>
  </si>
  <si>
    <t>Scope_of_Works_Uncertainty</t>
  </si>
  <si>
    <t>Contractor_(P&amp;G)</t>
  </si>
  <si>
    <t>Location_ExtraOver_(%)</t>
  </si>
  <si>
    <t>Location_ExtraOver_($)</t>
  </si>
  <si>
    <t>Fees_Design</t>
  </si>
  <si>
    <t>Fees_Consent_ Tender</t>
  </si>
  <si>
    <t>Fees_Construction</t>
  </si>
  <si>
    <t>Fee_Estimate</t>
  </si>
  <si>
    <t>Contingency</t>
  </si>
  <si>
    <t>Cost_Estimate</t>
  </si>
  <si>
    <t>Year_Established</t>
  </si>
  <si>
    <t>Construction_Duration</t>
  </si>
  <si>
    <t>Completion</t>
  </si>
  <si>
    <t>Development_Comments</t>
  </si>
  <si>
    <t>Life_Expectancy</t>
  </si>
  <si>
    <t>OPEX_(Annual)</t>
  </si>
  <si>
    <t>OPEX_Comments</t>
  </si>
  <si>
    <t>Piopiotahi</t>
  </si>
  <si>
    <t>Structures</t>
  </si>
  <si>
    <t>100 bed</t>
  </si>
  <si>
    <r>
      <t>m</t>
    </r>
    <r>
      <rPr>
        <vertAlign val="superscript"/>
        <sz val="11"/>
        <color theme="1"/>
        <rFont val="Calibri"/>
        <family val="2"/>
        <scheme val="minor"/>
      </rPr>
      <t>2</t>
    </r>
  </si>
  <si>
    <t>Baseline - Accomodation 3 star</t>
  </si>
  <si>
    <t>Base Option Design Yr 1, Construct Yr 2/3</t>
  </si>
  <si>
    <t>Extra Over - Accomodation 3 Star - PioPiotahi</t>
  </si>
  <si>
    <t>Resilience improvements/refuge at Accomodation - needs site-specific assessment and design</t>
  </si>
  <si>
    <t>Baseline - Accomodation-Staff</t>
  </si>
  <si>
    <t>As funding permits, use existing accomodation until required</t>
  </si>
  <si>
    <t>Extra Over - Accomodation-Staff</t>
  </si>
  <si>
    <t>ea</t>
  </si>
  <si>
    <t>Base Option Design Yr 1, Construct Yr 2</t>
  </si>
  <si>
    <t>As funding permits, developed with balance of  site</t>
  </si>
  <si>
    <t>Structures - Covered Walkway - Piopiotahi arrival</t>
  </si>
  <si>
    <t>Baseline - Marine Interpretive Centre - PioPiotahi</t>
  </si>
  <si>
    <t>Extra Over - Marine Interpretive Centre - PioPiotahi</t>
  </si>
  <si>
    <t>Resilience improvements/refuge at Marine Interpretive Centre - needs site-specific assessment and design</t>
  </si>
  <si>
    <t>Baseline_Visitor Experience Hub - PioPiotahi</t>
  </si>
  <si>
    <t>Extra Over - Visitor Experience Hub - PioPiotahi</t>
  </si>
  <si>
    <t>Resilience improvements/refuge at Piopiotahi - needs site-specific assessment and design</t>
  </si>
  <si>
    <t>Building / structure for commerical operations at the port</t>
  </si>
  <si>
    <t>Assumed Base Option Design Yr 1, Construct Yr 2/3</t>
  </si>
  <si>
    <t>As funding permits, requires new staff accommodation to be built</t>
  </si>
  <si>
    <t>Assumed part of staged development for the site - Linked to Deconstruction of Ferry Terminal</t>
  </si>
  <si>
    <t>Transport</t>
  </si>
  <si>
    <t>Require Option where visitor hub on terrace. Will require staff accomodation to be moved accelerating this to year 0. Will impact timing of all other elements in this table.</t>
  </si>
  <si>
    <t>Changed alignment for moving from two-way to one way for arrival access</t>
  </si>
  <si>
    <t>Assumed existing pavement will have between 0-10 years before full replacement required. Appliciable only where aerodrome retained.</t>
  </si>
  <si>
    <t>Delayed start tied into visitor hub development</t>
  </si>
  <si>
    <t>Facilities</t>
  </si>
  <si>
    <t>Shuttles</t>
  </si>
  <si>
    <t>Initial portion of fleet - needs Shuttle base completed before purchase</t>
  </si>
  <si>
    <t>Vehicles for movement from hub to ferry terminal. Low rider, high volume about 8 on constant loop - 25% year 15</t>
  </si>
  <si>
    <t>second portion of fleet</t>
  </si>
  <si>
    <t>Shuttles - Base</t>
  </si>
  <si>
    <t>Housing of shuttles and buses - includes allowance for charging hubs</t>
  </si>
  <si>
    <t>Building / structure for drivers and maintenance</t>
  </si>
  <si>
    <t>Shuttles  - Base (Generator)</t>
  </si>
  <si>
    <t>Power for charging hubs - Backup generator</t>
  </si>
  <si>
    <t>Shuttles  - Base (Transformer)</t>
  </si>
  <si>
    <t>Power for charging hubs - Transformer</t>
  </si>
  <si>
    <t>3 Waters</t>
  </si>
  <si>
    <t>WW - Pipelines</t>
  </si>
  <si>
    <t>Allowance to realign existing WW near the Hub</t>
  </si>
  <si>
    <t>m</t>
  </si>
  <si>
    <t>WW - Manholes</t>
  </si>
  <si>
    <t>WW - Treatment (upgrade to existing with Consent renewal in 2028)</t>
  </si>
  <si>
    <t>Allowance to modify the existing treatment facility for high rate treatment and continued outfall</t>
  </si>
  <si>
    <t>Upgrades required to WWTP likely to comply with possible changes in consent conditions. Dates locked.</t>
  </si>
  <si>
    <t>PW - Pipelines</t>
  </si>
  <si>
    <t>Allowance to realign existing PW near Hub</t>
  </si>
  <si>
    <t>PW - Valves</t>
  </si>
  <si>
    <t>PW - Storage</t>
  </si>
  <si>
    <t>Storage to increase the half day storage currently available</t>
  </si>
  <si>
    <t>Power Generation</t>
  </si>
  <si>
    <t>Power Cabling</t>
  </si>
  <si>
    <t>Great Walks Style of Track (ref DOC estimates, cutting into virgin terrain, variable conditions and hazards)</t>
  </si>
  <si>
    <t>Walking Track - Accessible (Premium)</t>
  </si>
  <si>
    <t>linked to commercial hub deveopment</t>
  </si>
  <si>
    <t>WW - Pipelines (Knobs Flat)</t>
  </si>
  <si>
    <t>"Knobs Flat" Assumed conveyance to Kiosk Creek</t>
  </si>
  <si>
    <t>WW - Manholes  (Knobs Flat)</t>
  </si>
  <si>
    <t>WW - Treatment / Toilets  (Knobs Flat)</t>
  </si>
  <si>
    <t>"Knobs Flat" Assumed facilities at Kiosk Creek</t>
  </si>
  <si>
    <t>PW - Pipelines  (Knobs Flat)</t>
  </si>
  <si>
    <t>PW - Valves  (Knobs Flat)</t>
  </si>
  <si>
    <t>Stop banks and flood protection structures required for Knobs Flat Accomodation</t>
  </si>
  <si>
    <t>Super Track Head - Facility associated with the exposing visitors to the history and significance of the area to Mana Whenua, provide an information centre for the local region</t>
  </si>
  <si>
    <t>Do we need to include annual DOC ongoing costs for track maintenance on existing tracks (and any other DOC functions)???</t>
  </si>
  <si>
    <t>Super Track Head - Parking Area</t>
  </si>
  <si>
    <t xml:space="preserve">Super Track Head - Parking for Lake Marian walkway/ trail head. Enhancement of the existing parking area </t>
  </si>
  <si>
    <r>
      <t>m</t>
    </r>
    <r>
      <rPr>
        <vertAlign val="superscript"/>
        <sz val="11"/>
        <color theme="1"/>
        <rFont val="Calibri"/>
        <family val="2"/>
        <scheme val="minor"/>
      </rPr>
      <t>3</t>
    </r>
    <r>
      <rPr>
        <sz val="11"/>
        <color theme="1"/>
        <rFont val="Calibri"/>
        <family val="2"/>
        <scheme val="minor"/>
      </rPr>
      <t/>
    </r>
  </si>
  <si>
    <t>Base Option Design Yr 1, Construct Yr 2/4</t>
  </si>
  <si>
    <t>Super Track Head - Wastewater Services</t>
  </si>
  <si>
    <t>Super Track Head - Potable Water Services</t>
  </si>
  <si>
    <t>(From Track Head) Great Walks Style of Track (ref DOC estimates, cutting into virgin terrain, variable conditions and hazards)</t>
  </si>
  <si>
    <t>(From Track Head) Great Walks Style of Track (ref DOC estimates, cutting into virgin terrain, variable conditions and hazards) Upgrade at 50% of full development cost</t>
  </si>
  <si>
    <t>Wheelchair accessible Track (assumes establishment on existing cut, ease of access and flat @ Knobs Flat)</t>
  </si>
  <si>
    <t>Base Option Design Yr 1, Construct Yr 2-4</t>
  </si>
  <si>
    <t>Cycleway - Knobs Flat to Cascade Creek</t>
  </si>
  <si>
    <t>Established cycleway, typically off road, between the two locations</t>
  </si>
  <si>
    <t>Cycleway - Knobs Flat from Te Anau Downs</t>
  </si>
  <si>
    <t>Landscaping - Visitor Experience Hub - Te Anau</t>
  </si>
  <si>
    <t>Buses - Phase 1</t>
  </si>
  <si>
    <t>Vehicles for movement from Te Anau to Piopiotahi - 50% year Zero</t>
  </si>
  <si>
    <t>Buses - Phase 2</t>
  </si>
  <si>
    <t>Vehicles for movement from Te Anau to Piopiotahi - 25% year 10</t>
  </si>
  <si>
    <t>Buses - Phase 3</t>
  </si>
  <si>
    <t>Vehicles for movement from Te Anau to Piopiotahi - 25% year 20</t>
  </si>
  <si>
    <t>Buses - Base (Generator)</t>
  </si>
  <si>
    <t>Buses - Base (Transformer)</t>
  </si>
  <si>
    <t>WW - Pipelines (Hub)</t>
  </si>
  <si>
    <t>Assumed connection to Council Schemes - allowance for internal infrastructure</t>
  </si>
  <si>
    <t>WW - Manholes (Hub)</t>
  </si>
  <si>
    <t>PW - Pipelines (Hub)</t>
  </si>
  <si>
    <t>PW - Valves (Hub)</t>
  </si>
  <si>
    <t>Structure - Jetty</t>
  </si>
  <si>
    <t>Infrastructure</t>
  </si>
  <si>
    <t>Quantity</t>
  </si>
  <si>
    <t>Raw Rate</t>
  </si>
  <si>
    <t>Unit Rate</t>
  </si>
  <si>
    <t>Reference</t>
  </si>
  <si>
    <t xml:space="preserve">State Highway </t>
  </si>
  <si>
    <r>
      <rPr>
        <i/>
        <sz val="11"/>
        <color theme="1"/>
        <rFont val="Calibri"/>
        <family val="2"/>
        <scheme val="minor"/>
      </rPr>
      <t>Refer to spreadsheet from Nigel Lister: Email dated 13 October 2020</t>
    </r>
    <r>
      <rPr>
        <sz val="11"/>
        <color theme="1"/>
        <rFont val="Calibri"/>
        <family val="2"/>
        <scheme val="minor"/>
      </rPr>
      <t xml:space="preserve">
Applicable to Greenfields Rural State Highway:
</t>
    </r>
    <r>
      <rPr>
        <i/>
        <sz val="11"/>
        <color theme="1"/>
        <rFont val="Calibri"/>
        <family val="2"/>
        <scheme val="minor"/>
      </rPr>
      <t>Assumptions:</t>
    </r>
    <r>
      <rPr>
        <sz val="11"/>
        <color theme="1"/>
        <rFont val="Calibri"/>
        <family val="2"/>
        <scheme val="minor"/>
      </rPr>
      <t xml:space="preserve"> rural, no lighting, moderate to good subgrade conditions
</t>
    </r>
    <r>
      <rPr>
        <i/>
        <sz val="11"/>
        <color theme="1"/>
        <rFont val="Calibri"/>
        <family val="2"/>
        <scheme val="minor"/>
      </rPr>
      <t>Calc includes:</t>
    </r>
    <r>
      <rPr>
        <sz val="11"/>
        <color theme="1"/>
        <rFont val="Calibri"/>
        <family val="2"/>
        <scheme val="minor"/>
      </rPr>
      <t xml:space="preserve"> 2 x 0.5 m unsealed shoulder, 2 x 1.5 m sealed shoulder, 2 x 3.5 m vehicle lanes, carriageway width 11 m, subbase (AP65) depth 250 mm, basecourse M/4 AP40  depth 150 mm, two coat chip seal, standard drainage, delineation and signage, 25 % allowance for earthworks, establishment, TTM, utility services &amp; contingency accounted for. </t>
    </r>
  </si>
  <si>
    <t>Shoulder widening</t>
  </si>
  <si>
    <r>
      <rPr>
        <i/>
        <sz val="11"/>
        <color theme="1"/>
        <rFont val="Calibri"/>
        <family val="2"/>
        <scheme val="minor"/>
      </rPr>
      <t>Refer to spreadsheet from Nigel Lister: Email dated 13 October 2020</t>
    </r>
    <r>
      <rPr>
        <sz val="11"/>
        <color theme="1"/>
        <rFont val="Calibri"/>
        <family val="2"/>
        <scheme val="minor"/>
      </rPr>
      <t xml:space="preserve">
Applicable to Greenfields Rural State Highway Shoulder Widening:
</t>
    </r>
    <r>
      <rPr>
        <i/>
        <sz val="11"/>
        <color theme="1"/>
        <rFont val="Calibri"/>
        <family val="2"/>
        <scheme val="minor"/>
      </rPr>
      <t>Assumptions:</t>
    </r>
    <r>
      <rPr>
        <sz val="11"/>
        <color theme="1"/>
        <rFont val="Calibri"/>
        <family val="2"/>
        <scheme val="minor"/>
      </rPr>
      <t xml:space="preserve"> rural, no lighting, moderate to good subgrade conditions
</t>
    </r>
    <r>
      <rPr>
        <i/>
        <sz val="11"/>
        <color theme="1"/>
        <rFont val="Calibri"/>
        <family val="2"/>
        <scheme val="minor"/>
      </rPr>
      <t xml:space="preserve">Calc includes: </t>
    </r>
    <r>
      <rPr>
        <sz val="11"/>
        <color theme="1"/>
        <rFont val="Calibri"/>
        <family val="2"/>
        <scheme val="minor"/>
      </rPr>
      <t xml:space="preserve">2 x 0.5 m unsealed shoulder, 2 x 1.5 m sealed shoulder, subbase (AP65) depth 250 mm, basecourse M/4 AP40  depth 150 mm, two coat chip seal, standard drainage, delineation and signage, 25 % allowance for earthworks, establishment, TTM, utility services &amp; contingency accounted for. </t>
    </r>
  </si>
  <si>
    <t>Estimate provided by Darren Davis 28/10/2020</t>
  </si>
  <si>
    <t>Buses</t>
  </si>
  <si>
    <t>Parking/carpark + drainage</t>
  </si>
  <si>
    <t>spaces</t>
  </si>
  <si>
    <r>
      <rPr>
        <i/>
        <sz val="11"/>
        <color theme="1"/>
        <rFont val="Calibri"/>
        <family val="2"/>
        <scheme val="minor"/>
      </rPr>
      <t>Refer to spreadsheet from Nigel Lister: Email dated 13 October 2020</t>
    </r>
    <r>
      <rPr>
        <sz val="11"/>
        <color theme="1"/>
        <rFont val="Calibri"/>
        <family val="2"/>
        <scheme val="minor"/>
      </rPr>
      <t xml:space="preserve">
Applicable to Greenfields Carpark + Surface Drainage
</t>
    </r>
    <r>
      <rPr>
        <i/>
        <sz val="11"/>
        <color theme="1"/>
        <rFont val="Calibri"/>
        <family val="2"/>
        <scheme val="minor"/>
      </rPr>
      <t>Assumptions</t>
    </r>
    <r>
      <rPr>
        <sz val="11"/>
        <color theme="1"/>
        <rFont val="Calibri"/>
        <family val="2"/>
        <scheme val="minor"/>
      </rPr>
      <t xml:space="preserve">: rural, lighting, moderate to good subgrade conditions, CCTV.
</t>
    </r>
    <r>
      <rPr>
        <i/>
        <sz val="11"/>
        <color theme="1"/>
        <rFont val="Calibri"/>
        <family val="2"/>
        <scheme val="minor"/>
      </rPr>
      <t>Calc includes:</t>
    </r>
    <r>
      <rPr>
        <sz val="11"/>
        <color theme="1"/>
        <rFont val="Calibri"/>
        <family val="2"/>
        <scheme val="minor"/>
      </rPr>
      <t xml:space="preserve"> each car space is 2.2 m wide + 0.5 m extra width per lane circulation, subbase (AP65) depth 200 mm, basecourse M/4 AP40 depth 120 mm, 40 mm thick AC10, standard drainage, signage, 20% allowance for earthworks, establishment, TTM, utility services &amp; contingency accounted for. </t>
    </r>
  </si>
  <si>
    <t>Parking/pullover</t>
  </si>
  <si>
    <r>
      <rPr>
        <i/>
        <sz val="11"/>
        <color theme="1"/>
        <rFont val="Calibri"/>
        <family val="2"/>
        <scheme val="minor"/>
      </rPr>
      <t xml:space="preserve">Refer to spreadsheet from Nigel Lister: Email dated 13 October 2020
</t>
    </r>
    <r>
      <rPr>
        <sz val="11"/>
        <color theme="1"/>
        <rFont val="Calibri"/>
        <family val="2"/>
        <scheme val="minor"/>
      </rPr>
      <t xml:space="preserve">Based on Greenfields Rural Shoulder Widening Calculation
</t>
    </r>
    <r>
      <rPr>
        <i/>
        <sz val="11"/>
        <color theme="1"/>
        <rFont val="Calibri"/>
        <family val="2"/>
        <scheme val="minor"/>
      </rPr>
      <t>Assumptions:</t>
    </r>
    <r>
      <rPr>
        <sz val="11"/>
        <color theme="1"/>
        <rFont val="Calibri"/>
        <family val="2"/>
        <scheme val="minor"/>
      </rPr>
      <t xml:space="preserve"> rural, no lighting, moderate to good subgrade conditions
</t>
    </r>
    <r>
      <rPr>
        <i/>
        <sz val="11"/>
        <color theme="1"/>
        <rFont val="Calibri"/>
        <family val="2"/>
        <scheme val="minor"/>
      </rPr>
      <t>Calc includes:</t>
    </r>
    <r>
      <rPr>
        <sz val="11"/>
        <color theme="1"/>
        <rFont val="Calibri"/>
        <family val="2"/>
        <scheme val="minor"/>
      </rPr>
      <t xml:space="preserve"> 1 x 0.5 m unsealed shoulder, 1 x 3 m sealed shoulder, subbase (AP65) depth 250 mm, basecourse M/4 AP40  depth 150 mm, two coat chip seal, standard drainage, delineation and signage, 25 % allowance for earthworks, establishment, TTM, utility services &amp; contingency accounted for. </t>
    </r>
  </si>
  <si>
    <t>State Highway - Safety Improvements</t>
  </si>
  <si>
    <t>National Park Entrance</t>
  </si>
  <si>
    <t>Generator and Services</t>
  </si>
  <si>
    <t>Refer to Pines WWTP Contract (June 2020)
Assumptions: 500kVa supply required
Calc includes: 500KvA generator supply and install including auto change over.</t>
  </si>
  <si>
    <t>Transformer</t>
  </si>
  <si>
    <t xml:space="preserve">Refer to Pines WWTP Contract (June 2020)
Assumptions: 500kVa supply required
Calc includes: High voltage (HV) &amp; Transformer supply and install, plus cabling </t>
  </si>
  <si>
    <t>Landscaping - Development of landscaping areas (grassed areas or equivalent)</t>
  </si>
  <si>
    <t>Removal of Pavement and Landscape - Development of landscaping areas (planted areas)</t>
  </si>
  <si>
    <t>Metaled Pavement</t>
  </si>
  <si>
    <t xml:space="preserve">as per estimates for Walking Tracks - Fully Developed but converted to a m2 basis (1.5m wide tracks)
</t>
  </si>
  <si>
    <t>Land Purchase</t>
  </si>
  <si>
    <t>Walking Track - Fully Developed (DOC description required)</t>
  </si>
  <si>
    <r>
      <t xml:space="preserve">Refer to spreadsheet from Nigel Lister: Email dated 13 October 2020
</t>
    </r>
    <r>
      <rPr>
        <sz val="11"/>
        <color theme="1"/>
        <rFont val="Calibri"/>
        <family val="2"/>
        <scheme val="minor"/>
      </rPr>
      <t xml:space="preserve">Applicable to Greenfields Unsealed Walking Track:
</t>
    </r>
    <r>
      <rPr>
        <i/>
        <sz val="11"/>
        <color theme="1"/>
        <rFont val="Calibri"/>
        <family val="2"/>
        <scheme val="minor"/>
      </rPr>
      <t xml:space="preserve">Assumptions: </t>
    </r>
    <r>
      <rPr>
        <sz val="11"/>
        <color theme="1"/>
        <rFont val="Calibri"/>
        <family val="2"/>
        <scheme val="minor"/>
      </rPr>
      <t xml:space="preserve">rural, no lighting, moderate to good subgrade conditions
</t>
    </r>
    <r>
      <rPr>
        <i/>
        <sz val="11"/>
        <color theme="1"/>
        <rFont val="Calibri"/>
        <family val="2"/>
        <scheme val="minor"/>
      </rPr>
      <t xml:space="preserve">Calc includes: </t>
    </r>
    <r>
      <rPr>
        <sz val="11"/>
        <color theme="1"/>
        <rFont val="Calibri"/>
        <family val="2"/>
        <scheme val="minor"/>
      </rPr>
      <t xml:space="preserve">track width 1.5 m, subbase (AP65) depth 150 mm, running course (AP20/crusher dust) depth 50 mm, timber edging, standard drainage, signage, 25% allowance for earthworks, establishment, TTM, utility services &amp; contingency accounted for. </t>
    </r>
  </si>
  <si>
    <t>Craig to provide DOC Description</t>
  </si>
  <si>
    <t>Walking Track - Fully Developed Premier</t>
  </si>
  <si>
    <t>Uplift for 2.5m wide track</t>
  </si>
  <si>
    <t>Walking Track - DOC Great Walks</t>
  </si>
  <si>
    <t xml:space="preserve">From: John Twidle &lt;jtwidle@doc.govt.nz&gt; 
Sent: Thursday, 22 October 2020 8:14 AM
The team here use the standard figure of $400 per metre for estimating the cost of track work (new tracks).  That may sound high for some or low for others (depending on the extent of formation needed and terrain) but it works out as a very good average for all types of track (give &amp; take).
</t>
  </si>
  <si>
    <t>Expansion of Homer Tunnel Eastern Portal</t>
  </si>
  <si>
    <t>ESTIMATE ONLY as a placeholder - Assumed to be a rockfall structure with area for bus pull over in safe zone.</t>
  </si>
  <si>
    <t>Hotel 2-3 Star</t>
  </si>
  <si>
    <t>Hotel 3-4 Star</t>
  </si>
  <si>
    <t>Motel</t>
  </si>
  <si>
    <t>Visitor Centre</t>
  </si>
  <si>
    <t>Experience element (KATIE at $5,000/m2)</t>
  </si>
  <si>
    <r>
      <t xml:space="preserve">Calculated from QV CostBuilder - 2020 costs [Referred to by Structures Team]
</t>
    </r>
    <r>
      <rPr>
        <sz val="11"/>
        <color theme="1"/>
        <rFont val="Calibri"/>
        <family val="2"/>
        <scheme val="minor"/>
      </rPr>
      <t xml:space="preserve">Calculated using relevant elemental components for </t>
    </r>
    <r>
      <rPr>
        <b/>
        <i/>
        <sz val="11"/>
        <color theme="1"/>
        <rFont val="Calibri"/>
        <family val="2"/>
        <scheme val="minor"/>
      </rPr>
      <t>factory/warehouse</t>
    </r>
    <r>
      <rPr>
        <sz val="11"/>
        <color theme="1"/>
        <rFont val="Calibri"/>
        <family val="2"/>
        <scheme val="minor"/>
      </rPr>
      <t xml:space="preserve"> under 20 m span, </t>
    </r>
    <r>
      <rPr>
        <b/>
        <i/>
        <sz val="11"/>
        <color theme="1"/>
        <rFont val="Calibri"/>
        <family val="2"/>
        <scheme val="minor"/>
      </rPr>
      <t>colorsteel cladding</t>
    </r>
    <r>
      <rPr>
        <sz val="11"/>
        <color theme="1"/>
        <rFont val="Calibri"/>
        <family val="2"/>
        <scheme val="minor"/>
      </rPr>
      <t xml:space="preserve">. Rate assumes flat site &amp; good ground conditions, excludes: authority fees, external works &amp; facilities, land, demolition, utilities, professional fees. Assume bus stop area of 2.5 m x 13.5 m [33.75 m2]. </t>
    </r>
    <r>
      <rPr>
        <sz val="11"/>
        <color rgb="FFFF0000"/>
        <rFont val="Calibri"/>
        <family val="2"/>
        <scheme val="minor"/>
      </rPr>
      <t>[Assumption initial rate based on Auckland pricing, then inflated for Dunedin pricing].</t>
    </r>
    <r>
      <rPr>
        <sz val="11"/>
        <rFont val="Calibri"/>
        <family val="2"/>
        <scheme val="minor"/>
      </rPr>
      <t xml:space="preserve"> Allow 30m2 upgrade of shoulder to accomodate at $280 / m2</t>
    </r>
    <r>
      <rPr>
        <i/>
        <sz val="11"/>
        <color theme="1"/>
        <rFont val="Calibri"/>
        <family val="2"/>
        <scheme val="minor"/>
      </rPr>
      <t xml:space="preserve">
</t>
    </r>
  </si>
  <si>
    <t>Bus Shelter - Robust</t>
  </si>
  <si>
    <t>Demolition</t>
  </si>
  <si>
    <r>
      <t xml:space="preserve">From Rawlinsons 2013-14 (inflated for 2020 prices *1.15):
</t>
    </r>
    <r>
      <rPr>
        <sz val="11"/>
        <color theme="1"/>
        <rFont val="Calibri"/>
        <family val="2"/>
        <scheme val="minor"/>
      </rPr>
      <t xml:space="preserve">Rate for demolition of a office building, 2-storey. Rate is for a whole structure per square metre of gross floor area, based on volume of building. Cost includes demolition, including grubbing up foundations, and removing debris of office buildings (reinforced concrete floor slabs, concrete wall, metal roof). Rate assumes normal demolition periods, no site access problems and includes removal of all debris. </t>
    </r>
    <r>
      <rPr>
        <sz val="11"/>
        <color rgb="FFFF0000"/>
        <rFont val="Calibri"/>
        <family val="2"/>
        <scheme val="minor"/>
      </rPr>
      <t>[Assumption initial rate based on Dunedin pricing].</t>
    </r>
    <r>
      <rPr>
        <i/>
        <sz val="11"/>
        <color theme="1"/>
        <rFont val="Calibri"/>
        <family val="2"/>
        <scheme val="minor"/>
      </rPr>
      <t xml:space="preserve">
</t>
    </r>
  </si>
  <si>
    <t>Retaining Wall - King Post System</t>
  </si>
  <si>
    <t xml:space="preserve">Estimate 
</t>
  </si>
  <si>
    <t>Excavate, bed, supply and install PVC gravity main to depths 0 - 2.0m. Includes all labour, plant, backfilling, and reinstatement in grass.</t>
  </si>
  <si>
    <t>Kaikoura On Site/Property works supply and install 100mm up to 1.5m depth  $131.64, 150mm up to 1.5m Depth $150.52, 375mm 1.5 -2.0m deep $707.06, cost for Asbestos $54.47/m, reinstatement Asphalt $30/m</t>
  </si>
  <si>
    <t>Excavate, bed, supply and install PE Pressure main to depths 0 - 2.0m. Includes all labour, plant, backfilling, and reinstatement in grass.</t>
  </si>
  <si>
    <t>Use rates as stated above (majority of costs in trenching, bedding and reinstatement)</t>
  </si>
  <si>
    <t>1050mm manhole, installed complete with lockdown cover</t>
  </si>
  <si>
    <t>Kaikoura DC Reticulation Renewal Package April 2020</t>
  </si>
  <si>
    <t>RS Gate Valve installed, including toby box</t>
  </si>
  <si>
    <t>Kaikoura DC Reticulation Renewal Package April 2020 ($1726 for 150mm valve installed)</t>
  </si>
  <si>
    <t>Fire Hydrant installed, including toby box</t>
  </si>
  <si>
    <t>Kaikoura DC Reticulation Renewal Package April 2020 ($3104.73 for 150mm valve installed, increase by 50% to allow for range of sizes on average)</t>
  </si>
  <si>
    <t xml:space="preserve">1 concrete res size 500m3 </t>
  </si>
  <si>
    <t>500m3</t>
  </si>
  <si>
    <t>From Waimea Water Supply strategy estimates. Does not include Design Fees, PM etc</t>
  </si>
  <si>
    <t xml:space="preserve">Development of well to NZDWS </t>
  </si>
  <si>
    <t>1 toilet block and WW Treatment system (package septic tank)</t>
  </si>
  <si>
    <t>Package wastewater collection, treatment and disposal system (small catchment)</t>
  </si>
  <si>
    <t>Package wastewater collection, treatment and disposal system (small-medium catchment)</t>
  </si>
  <si>
    <t>Ref: Upper Selwyn Huts June 2019
Assume 60m3 per day, 5 x pressure tank installations and Isolation kits ($14,000 ea), pressure main 700m @ $135/m, AdvanTex AX700 $700,000, land based disposal @ 12000m2 assumed and $15/m2 established.</t>
  </si>
  <si>
    <t>if the infrastructure doesn’t change then OPEX stays the same and therefore excluded</t>
  </si>
  <si>
    <t>Base Rates are built up, where applicable, from documented rates for Dunedin (municipal area), with uplift applied for location</t>
  </si>
  <si>
    <t>No costs included for Manapouri</t>
  </si>
  <si>
    <t>No costs included for Patea / Doubtful Sound - assume operators will be able to apply some of the Piopiotahi lessons/principles including improving evacuation pathways and protocols, etc</t>
  </si>
  <si>
    <t>Configuration for complete works as per TABs for Piopiotahi, Corridor and Te Anau contained in this document</t>
  </si>
  <si>
    <t>Power and Potable water provisions (supply) for Knobs Flat assumed to be sufficient for the revised facilities</t>
  </si>
  <si>
    <t>For BAU, renewal of the Aerodrome Runway and Wastewater Treatment / network is required to align with deterioration and consenting respectively. Climate change / relocation of structures is not addressed, nor is renewal of existing structures.</t>
  </si>
  <si>
    <t>Preferred Option</t>
  </si>
  <si>
    <t>For Demolition</t>
  </si>
  <si>
    <t>Hub</t>
  </si>
  <si>
    <t>19 dwelling at approx 150m/2 each</t>
  </si>
  <si>
    <t>Terminal</t>
  </si>
  <si>
    <t>4900 footprint, 25% extra for two levels</t>
  </si>
  <si>
    <t>Accommodation</t>
  </si>
  <si>
    <t>3700 m2</t>
  </si>
  <si>
    <t>6 locations of "Bunkers"</t>
  </si>
  <si>
    <t>- 4 on the walkways/marshlands</t>
  </si>
  <si>
    <t>- 2 adjacent to areas where people will accumulate outside of built structures/buildings</t>
  </si>
  <si>
    <t>additional for vertical distance and fitting in with landscape</t>
  </si>
  <si>
    <t>Lake Marian Loop</t>
  </si>
  <si>
    <t>Waterfall Loop</t>
  </si>
  <si>
    <t>Nature Loop</t>
  </si>
  <si>
    <t>Key Summit Link</t>
  </si>
  <si>
    <t>Lake Howden (single way)</t>
  </si>
  <si>
    <t>m2</t>
  </si>
  <si>
    <t>Super Track Head (basis Castle Hill Parking area)</t>
  </si>
  <si>
    <t>Key Summit Link (from Cascade Creek)</t>
  </si>
  <si>
    <t>Note: current Lake Marian Track is 3100m</t>
  </si>
  <si>
    <t>from Lake Marian carpark to Hollyford Camp</t>
  </si>
  <si>
    <t>Hop on / off</t>
  </si>
  <si>
    <t>Interim</t>
  </si>
  <si>
    <t>Basic Bus Stop</t>
  </si>
  <si>
    <t>Homer Tunnel</t>
  </si>
  <si>
    <t>Loop 2 - West</t>
  </si>
  <si>
    <t>Portal - East</t>
  </si>
  <si>
    <t>Lake Marian</t>
  </si>
  <si>
    <t>Car Park Upgrade</t>
  </si>
  <si>
    <t>Divide</t>
  </si>
  <si>
    <t>Knobs Flat</t>
  </si>
  <si>
    <t>Robust Bus Stop</t>
  </si>
  <si>
    <t>Eglinton Reveal</t>
  </si>
  <si>
    <t>FNP Entry</t>
  </si>
  <si>
    <t>Connecting infrastructure</t>
  </si>
  <si>
    <t>Cycle and walkways (connecting with the Lake2Lake trail)</t>
  </si>
  <si>
    <t>Shuttle services</t>
  </si>
  <si>
    <t>60 buses housed in approx 5000m2</t>
  </si>
  <si>
    <t>4000 m2 hard standing for access</t>
  </si>
  <si>
    <t>900 m2 for service building / maintenance</t>
  </si>
  <si>
    <t>Resilience improvements/refuge at Staff Accomodation - needs site-specific assessment and design</t>
  </si>
  <si>
    <r>
      <rPr>
        <i/>
        <sz val="11"/>
        <color theme="1"/>
        <rFont val="Calibri"/>
        <family val="2"/>
        <scheme val="minor"/>
      </rPr>
      <t>Calculated from QV CostBuilder - 2020 costs [Referred to by Structures Team]</t>
    </r>
    <r>
      <rPr>
        <sz val="11"/>
        <color theme="1"/>
        <rFont val="Calibri"/>
        <family val="2"/>
        <scheme val="minor"/>
      </rPr>
      <t xml:space="preserve">
Based on average cost per m2 for a </t>
    </r>
    <r>
      <rPr>
        <b/>
        <i/>
        <sz val="11"/>
        <color theme="1"/>
        <rFont val="Calibri"/>
        <family val="2"/>
        <scheme val="minor"/>
      </rPr>
      <t>Community Centre and Library.</t>
    </r>
    <r>
      <rPr>
        <sz val="11"/>
        <color theme="1"/>
        <rFont val="Calibri"/>
        <family val="2"/>
        <scheme val="minor"/>
      </rPr>
      <t xml:space="preserve"> Assumes flat site &amp; good ground conditions. Figure based on 1 storey building, meeting rooms, office, workrooms, toilets, HVAC, fire, security, medium standard finishes. </t>
    </r>
    <r>
      <rPr>
        <sz val="11"/>
        <color rgb="FFFF0000"/>
        <rFont val="Calibri"/>
        <family val="2"/>
        <scheme val="minor"/>
      </rPr>
      <t>[Assumption initial rate based on Dunedin pricing].</t>
    </r>
    <r>
      <rPr>
        <sz val="11"/>
        <color theme="1"/>
        <rFont val="Calibri"/>
        <family val="2"/>
        <scheme val="minor"/>
      </rPr>
      <t xml:space="preserve"> Uplift of 66% to marry in with quotes provided by Boffa Miskell (19/11/2020)</t>
    </r>
  </si>
  <si>
    <r>
      <rPr>
        <i/>
        <sz val="11"/>
        <color theme="1"/>
        <rFont val="Calibri"/>
        <family val="2"/>
        <scheme val="minor"/>
      </rPr>
      <t xml:space="preserve">Calculated from QV CostBuilder - 2020 costs [Referred to by Structures Team]
</t>
    </r>
    <r>
      <rPr>
        <sz val="11"/>
        <color theme="1"/>
        <rFont val="Calibri"/>
        <family val="2"/>
        <scheme val="minor"/>
      </rPr>
      <t xml:space="preserve">Average cost per m2 for a standard quality motel building. Assumes flat site &amp; good ground conditions. Figure based on a standard quality motel, up to 2 storeys, basic building, office, reception, laundry decks, verandahs &amp; services, excludes HVAC, basic standard finishes, 50 m2 per accommodation unit. All inclusive rate cost includes building, services &amp; fit out. </t>
    </r>
    <r>
      <rPr>
        <sz val="11"/>
        <color rgb="FFFF0000"/>
        <rFont val="Calibri"/>
        <family val="2"/>
        <scheme val="minor"/>
      </rPr>
      <t xml:space="preserve">  [Assumption initial rate based on Dunedin pricing].</t>
    </r>
    <r>
      <rPr>
        <sz val="11"/>
        <color theme="1"/>
        <rFont val="Calibri"/>
        <family val="2"/>
        <scheme val="minor"/>
      </rPr>
      <t>Uplift of 66% to marry in with quotes provided by Boffa Miskell (19/11/2020)</t>
    </r>
  </si>
  <si>
    <r>
      <rPr>
        <i/>
        <sz val="11"/>
        <color theme="1"/>
        <rFont val="Calibri"/>
        <family val="2"/>
        <scheme val="minor"/>
      </rPr>
      <t>Calculated from QV CostBuilder - 2020 costs [Referred to by Structures Team]</t>
    </r>
    <r>
      <rPr>
        <sz val="11"/>
        <color theme="1"/>
        <rFont val="Calibri"/>
        <family val="2"/>
        <scheme val="minor"/>
      </rPr>
      <t xml:space="preserve">
Average cost per m2 for typical hotel building. Assumes flat site &amp; good ground conditions.
Figure based on: medium to high rise, basic building, reception, foyer, bedrooms, bars, restaurants, kitchen, service and plant facilities, HVAC, lifts, emergency generator, waste compactor, medium-standard finishes, 57 m</t>
    </r>
    <r>
      <rPr>
        <vertAlign val="superscript"/>
        <sz val="11"/>
        <color theme="1"/>
        <rFont val="Calibri"/>
        <family val="2"/>
        <scheme val="minor"/>
      </rPr>
      <t xml:space="preserve">2 </t>
    </r>
    <r>
      <rPr>
        <sz val="11"/>
        <color theme="1"/>
        <rFont val="Calibri"/>
        <family val="2"/>
        <scheme val="minor"/>
      </rPr>
      <t xml:space="preserve">per bedroom. All inclusive unit rate cost includes building services and fit out. </t>
    </r>
    <r>
      <rPr>
        <sz val="11"/>
        <color rgb="FFFF0000"/>
        <rFont val="Calibri"/>
        <family val="2"/>
        <scheme val="minor"/>
      </rPr>
      <t xml:space="preserve"> [Assumption initial rate based on Dunedin pricing].</t>
    </r>
    <r>
      <rPr>
        <sz val="11"/>
        <color theme="1"/>
        <rFont val="Calibri"/>
        <family val="2"/>
        <scheme val="minor"/>
      </rPr>
      <t xml:space="preserve"> Uplift of 33% to marry in with quotes provided by Boffa Miskell (19/11/2020)</t>
    </r>
  </si>
  <si>
    <r>
      <rPr>
        <i/>
        <sz val="11"/>
        <color theme="1"/>
        <rFont val="Calibri"/>
        <family val="2"/>
        <scheme val="minor"/>
      </rPr>
      <t>Calculated from QV CostBuilder - 2020 costs [Referred to by Structures Team]</t>
    </r>
    <r>
      <rPr>
        <sz val="11"/>
        <color theme="1"/>
        <rFont val="Calibri"/>
        <family val="2"/>
        <scheme val="minor"/>
      </rPr>
      <t xml:space="preserve">
Average cost per m2 for typical hotel building. Assumes flat site &amp; good ground conditions.</t>
    </r>
    <r>
      <rPr>
        <i/>
        <sz val="11"/>
        <color theme="1"/>
        <rFont val="Calibri"/>
        <family val="2"/>
        <scheme val="minor"/>
      </rPr>
      <t xml:space="preserve">
Figure based on: </t>
    </r>
    <r>
      <rPr>
        <sz val="11"/>
        <color theme="1"/>
        <rFont val="Calibri"/>
        <family val="2"/>
        <scheme val="minor"/>
      </rPr>
      <t>4 - 8 storeys, basic building, reception, foyer, bedrooms, bar, restaurant, kitchen, laundry, gym, HVAC, lifts, medium standard finishes, 45 m</t>
    </r>
    <r>
      <rPr>
        <vertAlign val="superscript"/>
        <sz val="11"/>
        <color theme="1"/>
        <rFont val="Calibri"/>
        <family val="2"/>
        <scheme val="minor"/>
      </rPr>
      <t xml:space="preserve">2 </t>
    </r>
    <r>
      <rPr>
        <sz val="11"/>
        <color theme="1"/>
        <rFont val="Calibri"/>
        <family val="2"/>
        <scheme val="minor"/>
      </rPr>
      <t xml:space="preserve">per bedroom. All inclusive unit rate cost includes building, services and fit out. 
</t>
    </r>
    <r>
      <rPr>
        <i/>
        <sz val="11"/>
        <color theme="1"/>
        <rFont val="Calibri"/>
        <family val="2"/>
        <scheme val="minor"/>
      </rPr>
      <t xml:space="preserve"> </t>
    </r>
    <r>
      <rPr>
        <sz val="11"/>
        <color rgb="FFFF0000"/>
        <rFont val="Calibri"/>
        <family val="2"/>
        <scheme val="minor"/>
      </rPr>
      <t>[Assumption of initial rate based on Dunedin pricing].</t>
    </r>
    <r>
      <rPr>
        <sz val="11"/>
        <color theme="1"/>
        <rFont val="Calibri"/>
        <family val="2"/>
        <scheme val="minor"/>
      </rPr>
      <t>Uplift of 33% to marry in with quotes provided by Boffa Miskell (19/11/2020)</t>
    </r>
  </si>
  <si>
    <t>Viewing Platform</t>
  </si>
  <si>
    <t xml:space="preserve">Timber and Steel Viewing platform based on Boffa Miskell Quote (19/11/2020)
</t>
  </si>
  <si>
    <t>Walking Track - Concrete Surfacing</t>
  </si>
  <si>
    <t xml:space="preserve">Based on Boffa Miskell Quote (19/11/2020)
</t>
  </si>
  <si>
    <t xml:space="preserve">Cycleway - Fully Developed </t>
  </si>
  <si>
    <t>Estimate aligns with the Boffa Miskell Quote 19/11/2020</t>
  </si>
  <si>
    <t>Walking Track - Milford Lodge to Tutoko Bridge</t>
  </si>
  <si>
    <t>Remove existing pavement and rebuild the runway, 800m x 20m plus taxiway and terminal area. Elevate 50% of runway, out of the coastal flooding area</t>
  </si>
  <si>
    <t xml:space="preserve">Land Redevelopment </t>
  </si>
  <si>
    <t>Filling with imported AP65, including compaction. Assumed 500mm (on average for fill), noting that the extent of the land rebuild may extend beyond the area of interest. Based on a figure of $135.59 m3 placed and compacted</t>
  </si>
  <si>
    <t>Installation of underground power cabling</t>
  </si>
  <si>
    <t xml:space="preserve">From Kaikoura EQ repair programme, installation of main power supply (noting that additonal cost for ducting removed). Allows for:
3 phase 4 Single Core Aluminium 120mm2 Cable 
Supply and Install Mag Slab and Tape
Install Electrical Cable in trench 
a Cable pit every 800m @ $3678 ea
 </t>
  </si>
  <si>
    <t>Pontoon</t>
  </si>
  <si>
    <t>Covered Walkway</t>
  </si>
  <si>
    <t>Based on  Southland District Council Rates / Valuation (see attached in Te Anau TAB). Allow 100% uplift due to proximity to urban limits and submission of plan change to SDC to make use of site for this purpose. Equates to  approx $85,000 / ha</t>
  </si>
  <si>
    <t>ID</t>
  </si>
  <si>
    <t>no.</t>
  </si>
  <si>
    <t>Bus Shelter - Light</t>
  </si>
  <si>
    <t>Bus Shelter - Light     -  Allow for waterproof stretch awning attached between poles in peak season or simple solid roof (site dependant).  Allow for a single sealed vault toilet. Allow for internet /wifi / mobile connection.</t>
  </si>
  <si>
    <t>Bus Shelter - Basic  - Allow for timber lined structure and interpretation boards. Waterproof stretch side awning attached in peak season to increase capacity.  Allow for a single sealed vault toilet. Allow for internet /wifi / mobile connection.</t>
  </si>
  <si>
    <t>Bus Shelter - Robust / Key Nodes - Allow for timber lined structure and interpretation boards. Waterproof stretch side awning attached in peak season to increase capacity.  Allow for two sealed vault toilets. Allow for internet /wifi / mobile connection.</t>
  </si>
  <si>
    <r>
      <rPr>
        <sz val="11"/>
        <color theme="1"/>
        <rFont val="Calibri"/>
        <family val="2"/>
        <scheme val="minor"/>
      </rPr>
      <t>Assumed bus stop area of 2.5 m x 13.5 m [33.75 m2] but applied at a rate aligned with the</t>
    </r>
    <r>
      <rPr>
        <sz val="11"/>
        <rFont val="Calibri"/>
        <family val="2"/>
        <scheme val="minor"/>
      </rPr>
      <t xml:space="preserve"> Hotel Structural requirements (2-3 Star). To accommodate concrete structure, steel portal frame design.  Allow 30m2 upgrade of shoulder to accomodate at $280 / m2</t>
    </r>
  </si>
  <si>
    <r>
      <rPr>
        <sz val="11"/>
        <color theme="1"/>
        <rFont val="Calibri"/>
        <family val="2"/>
        <scheme val="minor"/>
      </rPr>
      <t>Assumed bus stop area of 5 m x 15 m [75 m2] but applied at a rate aligned with the</t>
    </r>
    <r>
      <rPr>
        <sz val="11"/>
        <rFont val="Calibri"/>
        <family val="2"/>
        <scheme val="minor"/>
      </rPr>
      <t xml:space="preserve"> Hotel Structural requirements (2-3 Star). To accommodate concrete structure, steel portal frame design.</t>
    </r>
    <r>
      <rPr>
        <i/>
        <sz val="11"/>
        <color theme="1"/>
        <rFont val="Calibri"/>
        <family val="2"/>
        <scheme val="minor"/>
      </rPr>
      <t xml:space="preserve">
</t>
    </r>
  </si>
  <si>
    <t>Package treatment and disposal system (small-medium catchment)</t>
  </si>
  <si>
    <t>Ref: Upper Selwyn Huts June 2019
Assume  AdvanTex AX700 $700,000, land based disposal @ 12000m2 assumed and $15/m2 established.</t>
  </si>
  <si>
    <t>Bus Shelter - Minor</t>
  </si>
  <si>
    <t>Corridor Interpretation</t>
  </si>
  <si>
    <t>Piopiotahi Interpretation</t>
  </si>
  <si>
    <t>CBA_Reference</t>
  </si>
  <si>
    <t>100 bed accommodation targetting overnight stays, styled as a 3 Star Hotel, resilient to withstand extreme events and act as a refuge.</t>
  </si>
  <si>
    <t>280-320 bed accommodation for staff, some single units and some shared rooms, resilient to withstand extreme events and act as a refuge.</t>
  </si>
  <si>
    <t>Visitor Accomodation</t>
  </si>
  <si>
    <t>Staff Accomodation</t>
  </si>
  <si>
    <t>Removal of Existing Housing and Staff accommodation in preparation for new infrastructure</t>
  </si>
  <si>
    <t>Removal of structures in the central hub to make way for Visitor Experience, Accommodation and Marine Centre</t>
  </si>
  <si>
    <t>Facility developed to act as the focal point for the overall experience. Ticketing, interactive displays, information, services. Proposed adjacent to or including Marine Interpretive Centre.</t>
  </si>
  <si>
    <t>Facility developed to enhance visitor interaction. Touch pool, working lab, concourse/display area, back of house. Proposed adjacent to or part of Visitor Experience Hub.</t>
  </si>
  <si>
    <t>Visitor Protection Refuges</t>
  </si>
  <si>
    <t>Shelter / Refuge for hazards at key locations outside of the key structures (at Fresh Water Basin, Long Stay Parking, Deepwater Basin, Cleddau Delta). Double as infromation centres and potential observation points</t>
  </si>
  <si>
    <t xml:space="preserve">Arrival </t>
  </si>
  <si>
    <t>Covered Walkway from Bus Arrival to Visitor Experience Hub</t>
  </si>
  <si>
    <t xml:space="preserve">Shelter / Refuge style of development acting as an arrival point for buses. Located a short distance from the Visitor Experience Hub </t>
  </si>
  <si>
    <t>New access into Piopiotahi established to bring the road (as a one way system) onto the alignment of the existing taxiway</t>
  </si>
  <si>
    <t>Water front development - to provide an enhanced enviroment including boardwalks, paving and landscaping surrounding the Visitor Hub</t>
  </si>
  <si>
    <r>
      <t xml:space="preserve">From Rawlinsons 2013-14 (inflated for 2020 prices *1.15):
</t>
    </r>
    <r>
      <rPr>
        <sz val="11"/>
        <color theme="1"/>
        <rFont val="Calibri"/>
        <family val="2"/>
        <scheme val="minor"/>
      </rPr>
      <t xml:space="preserve">Unit rate includes: site clearance (strip 50 mm and remove from site) - $13 / m2
Top soil (rotary hoeing + excavate topsoil from stockpile + import topsoil and spread in layers, rake &amp; level 150 mm) - $18.00 /m2
 Allowance for estblishment of garden areas / plantings / area wide treatments - $100.00 /m2 (as per Boffa Miskell Quote)
</t>
    </r>
    <r>
      <rPr>
        <i/>
        <sz val="11"/>
        <color theme="1"/>
        <rFont val="Calibri"/>
        <family val="2"/>
        <scheme val="minor"/>
      </rPr>
      <t xml:space="preserve"> [Assumption of initial rate based on Dunedin prices] </t>
    </r>
  </si>
  <si>
    <r>
      <t xml:space="preserve">From Rawlinsons 2013-14 (inflated for 2020 prices *1.15):
</t>
    </r>
    <r>
      <rPr>
        <sz val="11"/>
        <color theme="1"/>
        <rFont val="Calibri"/>
        <family val="2"/>
        <scheme val="minor"/>
      </rPr>
      <t xml:space="preserve">Unit rate includes: site clearance (strip 50 mm and remove from site) - $0.70 / m2
Top soil (rotary hoeing + excavate topsoil from stockpile + import topsoil and spread in layers, rake &amp; level 150 mm) - $18.00 /m2
Allowance for estblishment of garden areas / plantings / area wide treatments - $100.00 /m2 (as per Boffa Miskell Quote)
</t>
    </r>
    <r>
      <rPr>
        <i/>
        <sz val="11"/>
        <color theme="1"/>
        <rFont val="Calibri"/>
        <family val="2"/>
        <scheme val="minor"/>
      </rPr>
      <t xml:space="preserve"> [Assumption of initial rate based on Dunedin prices]   Increase to $100/m2 total based on estimates provided  by Boffa Miskell 19/11/2020</t>
    </r>
  </si>
  <si>
    <t>Removal of existing runway and pavement areas. Establish either landscaping features / planting or establish locations for helicopter landings in its place.</t>
  </si>
  <si>
    <t>Removal of existing carparking and pavement on the foreshore. Establish landscaping features / plantings in its place.</t>
  </si>
  <si>
    <t>Deconstruction - Foreshore Carparking</t>
  </si>
  <si>
    <t>Ferry Terminal Toilet Block</t>
  </si>
  <si>
    <t>Toilet block with 4-5 pans to replace the facilities currently available at the Ferry Terminal</t>
  </si>
  <si>
    <t>Removal of Structures/Buildings at existing ferry terminal</t>
  </si>
  <si>
    <t>For Planes - Revised position of taxiway as an extra over sum for the total runway reconstruction (on south side of the runway)</t>
  </si>
  <si>
    <t>Long stay parking and bus layover area. To be established within the footprint of the existing staff accommodation area.</t>
  </si>
  <si>
    <t>PHub3</t>
  </si>
  <si>
    <t>PHub4</t>
  </si>
  <si>
    <t>PHub7</t>
  </si>
  <si>
    <t>PHub8</t>
  </si>
  <si>
    <t>PHub5</t>
  </si>
  <si>
    <t>PHub2</t>
  </si>
  <si>
    <t>PHub1</t>
  </si>
  <si>
    <t>PHub6</t>
  </si>
  <si>
    <t>PHub9</t>
  </si>
  <si>
    <t>PHub11</t>
  </si>
  <si>
    <t>PHub10</t>
  </si>
  <si>
    <t>PDel1</t>
  </si>
  <si>
    <t>PHub12</t>
  </si>
  <si>
    <t>PDel2</t>
  </si>
  <si>
    <t>PDel3</t>
  </si>
  <si>
    <t>PExO2</t>
  </si>
  <si>
    <t>PExO1</t>
  </si>
  <si>
    <t>Established adjacent to Long stay parking and bus layover area. To be established within the footprint of the existing staff accommodation area. Housing of shuttles - includes allowance for charging hubs</t>
  </si>
  <si>
    <t>Area for the operation and maintenance of shuttles to take visitors from the hub to the terminal. Includes facilities for Bus driver resting, shuttle mainteance, charging and overnight housing</t>
  </si>
  <si>
    <t>PDel4</t>
  </si>
  <si>
    <t>PDel5</t>
  </si>
  <si>
    <t>Vehicles for movement of visitors from hub to ferry terminal. Low rider, high volume about 8 on constant loop - 75% year 0</t>
  </si>
  <si>
    <t>Purchase of shuttles to convey visitors from from Visitor Experience Hub to the ferry terminal.</t>
  </si>
  <si>
    <t>Removal of Structures/Buildings at Commercial Port (current operations)</t>
  </si>
  <si>
    <t>Deconstruct - Commercial Port Operations</t>
  </si>
  <si>
    <t xml:space="preserve">Renewal of the existing building that houses the operations for the Commerical Port </t>
  </si>
  <si>
    <t>PDW1</t>
  </si>
  <si>
    <t>Structures - Deepwater Basin Pavilion</t>
  </si>
  <si>
    <t>Lightweight pavilion to act as focal point for experience in Deep Water Basin</t>
  </si>
  <si>
    <t>Pavements - Deepwater Basin Walkway</t>
  </si>
  <si>
    <t>Raised walkway area / boardwalk to direct tourist within the area</t>
  </si>
  <si>
    <t>Pavements - Deepwater Basin Food Stalls</t>
  </si>
  <si>
    <t>Sealed area adjacent to the Pavilion (approx 50 x 20m) to allow for food stalls and services for visitors</t>
  </si>
  <si>
    <t>Focus for tourist activities within Deepwater basin. To include a pavilion, boardwalk, food stalls, pavement and landscaping</t>
  </si>
  <si>
    <t>Landscaping - Deepwater Basin Experience</t>
  </si>
  <si>
    <t>Area wide treatment of the existing surface to accommodate visitor movements</t>
  </si>
  <si>
    <t>PDW2</t>
  </si>
  <si>
    <t>Deepwater Basin Experience Hub</t>
  </si>
  <si>
    <t>Marine Interpretive Centre - Piopiotahi</t>
  </si>
  <si>
    <t>Visitor Experience Hub - Piopiotahi</t>
  </si>
  <si>
    <t>PFW1</t>
  </si>
  <si>
    <t>PFW2</t>
  </si>
  <si>
    <t>PHub13</t>
  </si>
  <si>
    <t>Services - Wastewater</t>
  </si>
  <si>
    <t>Services - Potable Water</t>
  </si>
  <si>
    <t>Allowance for alteration of the existing wastewater network to accommodate the proposed developments within Piopiotahi. Upgrade to the current plant provided for with a higher rate and quality treatment to meet potential revised consent requirements</t>
  </si>
  <si>
    <t>Allowance for alteration of the existing potable water network to accommodate the proposed developments within Piopiotahi. Increased storage (500m3) provided for.</t>
  </si>
  <si>
    <t>PHub14</t>
  </si>
  <si>
    <t xml:space="preserve">Services - Power Supply </t>
  </si>
  <si>
    <t>Ref: Sumbitted quote for  from Vortex  Hydro (November 2020)
Turbine Hydro 300kW + 500kW
Generator Hydro 330kVA + 550kVA
PLC governor control system
Low voltage (415V) switchgear panel
24VDC panel
ACDB / HPU / MIV
Transformer 415V/11kV 
Installation, Commissioning and Training for both stations</t>
  </si>
  <si>
    <t>Package Turbine and Generator for power generation, installed</t>
  </si>
  <si>
    <t xml:space="preserve">Allowance for replacement of the existing turbines and generators (and equipment) to accommodate the proposed developments within Piopiotahi. </t>
  </si>
  <si>
    <t>Supply and installation of 500kW Turbine and Generator</t>
  </si>
  <si>
    <t>Allowance to realign existing power near the Hub</t>
  </si>
  <si>
    <t>PHub15</t>
  </si>
  <si>
    <t>Great Walks Style of Track (ref DOC estimates, cutting into virgin terrain, variable conditions and hazards). Along SH94 alignment for 2000m and then 4000m upgrade alongside the Tutoko River</t>
  </si>
  <si>
    <t>PDel6</t>
  </si>
  <si>
    <t>PFW3</t>
  </si>
  <si>
    <t>PDW3</t>
  </si>
  <si>
    <t>PDel7</t>
  </si>
  <si>
    <t>Viewing Deck - Timber and Steel Platform</t>
  </si>
  <si>
    <t xml:space="preserve">Timber and Steel viewing platforms, assumed that there will be two locations in the canopy of the trees at approx. 100-150m2 each </t>
  </si>
  <si>
    <t>Piopiotahi Viewing Deck Walkway</t>
  </si>
  <si>
    <t>Walkway / Bridge - Visitor Experience Hub</t>
  </si>
  <si>
    <t>Steel framed walkway/bridge to connect from the Visitor Experience Hub to the start of the Viewing Deck walkway. Budget based on the GFA rate for the Visitor Experience Hub</t>
  </si>
  <si>
    <t>Redevelopment of the existing walkway above the hub to including treetop canopy viewing platforms and a link to the Visitor Experience Hub</t>
  </si>
  <si>
    <t>PHub16</t>
  </si>
  <si>
    <t>PHub17</t>
  </si>
  <si>
    <t>Design for Structures are applied at 10% for balance of infrastructure a figure of 6% is used</t>
  </si>
  <si>
    <t>Insurance of structures (OPEX) excluded</t>
  </si>
  <si>
    <t>Exclude land purchase costs with all options / activities within the Fiordland National park</t>
  </si>
  <si>
    <t>Assumed to be aligned to the equivalent per metre rate for a typical, basic bus shelter installed. (2.5m deep and 13.5m long for $24,818</t>
  </si>
  <si>
    <t xml:space="preserve">Wheelchair accessible Track (corridor access around the Visitor Hub not otherwise covered under the water front development). </t>
  </si>
  <si>
    <t>Delta Walking Track - Accessible</t>
  </si>
  <si>
    <t xml:space="preserve">Accessible walking track developed through the Delta being mindful to minimise the physical footprint of the works. </t>
  </si>
  <si>
    <t xml:space="preserve">Developed on the basis of a floating pontoon. This could be developed as a modified concrete boat ramp instead </t>
  </si>
  <si>
    <t>CKF1</t>
  </si>
  <si>
    <t>CKF10</t>
  </si>
  <si>
    <t>CKF2</t>
  </si>
  <si>
    <t>Basic cabins established at Knobs Flat to complement the existing facilities. Allowing for 4 new structures within the development</t>
  </si>
  <si>
    <t>Development of the camp offering in the area surrounding the cabins including landscaping and upgraded services / facilities. Non-powered sites</t>
  </si>
  <si>
    <t>Te Anau Interpretation</t>
  </si>
  <si>
    <t>Budget allowance for the establishment of interpretive materials throughout Corridor (Signage, Displays, Services)</t>
  </si>
  <si>
    <t>Budget allowance for the establishment of interpretive materials throughout Te Anau (Signage, Displays, Services, incl. within the hub)</t>
  </si>
  <si>
    <t>Budget allowance for the establishment of interpretive materials throughout Piopiotahi (Signage, Displays, Services, incl. within the hub)</t>
  </si>
  <si>
    <t>Additions to the existing potable water distribution network to support proposed development</t>
  </si>
  <si>
    <t>Additions to the existing wastewater collection network to support proposed development, including new toilet block and enhancement of treatment</t>
  </si>
  <si>
    <t>Vaulted Toilet (single unit)</t>
  </si>
  <si>
    <t xml:space="preserve">Allowance for single vaulted toilet arrangement adjacent an additional service / facility such as a bus stop or parking area At a rate of $33,000 for the vaulted unit and 10m2 @ $280 / m2 for surrounding area surfacing </t>
  </si>
  <si>
    <t>Estimate: Assumed equivalent to a robust bus shelter</t>
  </si>
  <si>
    <t>Knobs Flat Interpretive Structures</t>
  </si>
  <si>
    <t xml:space="preserve">Facilities located within Knobs Flat providing education / information </t>
  </si>
  <si>
    <t>Knobs Flat Interpretive Building</t>
  </si>
  <si>
    <t>Interpretive building providing temporary shelter, hall style with single level to potentially act as a community facility</t>
  </si>
  <si>
    <t>CKF3</t>
  </si>
  <si>
    <t>CKF4</t>
  </si>
  <si>
    <t>CKF5</t>
  </si>
  <si>
    <t>CKF6</t>
  </si>
  <si>
    <t>CKF7</t>
  </si>
  <si>
    <t>CKF8</t>
  </si>
  <si>
    <t>CKF9</t>
  </si>
  <si>
    <t>CKF11</t>
  </si>
  <si>
    <t>Knobs Flat Walks</t>
  </si>
  <si>
    <t>abled</t>
  </si>
  <si>
    <t>KF1</t>
  </si>
  <si>
    <t>KF2</t>
  </si>
  <si>
    <t>wheelchair</t>
  </si>
  <si>
    <t>KF3</t>
  </si>
  <si>
    <t>25 bed (assumed 30% of footprint of accommodation at Piopiotahi) at Kiosk Creek. Will have limitations due to ability to service.</t>
  </si>
  <si>
    <t>Ref: Upper Selwyn Huts June 2019
Assume 30m3 per day, 5 x pressure tank installations and Isolation kits ($14,000 ea), pressure main 700m @ $135/m, AdvanTex AX400 $350,000, land based disposal @ 15000m2 assumed and $45/m2 established.</t>
  </si>
  <si>
    <t>Wastwater treatment system based on small catchment and disposal to ground, noting that there are poor  conditions and a vaulted system may be required.</t>
  </si>
  <si>
    <t>Simple shelter either waterproof stretch awning attached between poles in peak season or simple solid roof (site dependant), with a single sealed vault toilet. Internet /wifi / mobile connection allowed for (site dependant)</t>
  </si>
  <si>
    <t>Timber lined structure and interpretation boards. Waterproof stretch side awning attached in peak season to increase capacity, with a single sealed vault toilet.  Internet /wifi / mobile connection allowed for (site dependant)</t>
  </si>
  <si>
    <t>Kiosk Creek Accomodation - Wastewater</t>
  </si>
  <si>
    <t>Constructed entrance developed along lines of kiosk and remote monitoring</t>
  </si>
  <si>
    <t>Parking Area at Eglington Reveal- including a robust shelter, 900 m2 parking (unsealed), and 4 vaulted toilets</t>
  </si>
  <si>
    <t>CCE1</t>
  </si>
  <si>
    <t>CCE2</t>
  </si>
  <si>
    <t>CCE3</t>
  </si>
  <si>
    <t>CCE4</t>
  </si>
  <si>
    <t>CCE5</t>
  </si>
  <si>
    <t>CCE6</t>
  </si>
  <si>
    <t>CCE7</t>
  </si>
  <si>
    <t>CCE8</t>
  </si>
  <si>
    <t>Parking Area enhancement at Loop 2 - including a robust shelter, 900 m2 parking, 75m retaining wall</t>
  </si>
  <si>
    <t>Expansion of eastern Tunnel Portal for viewing area providing rockfall protection from the southern slopes, and protected pullover area for buses allowing for the visitor experience.</t>
  </si>
  <si>
    <t>CCE9</t>
  </si>
  <si>
    <t>Vaulted collection system, with 3-4 pans (toilet block)</t>
  </si>
  <si>
    <t>Potable water treatment simple intake + pipelines +UV</t>
  </si>
  <si>
    <t>Package potable water treatment system (small catchment)</t>
  </si>
  <si>
    <t>Super Track Head - Power</t>
  </si>
  <si>
    <t>Package water supply and treatment for servicing super track head, with intake from the Hollyford River</t>
  </si>
  <si>
    <t>Walking Track - Track Head to Hollyford Track</t>
  </si>
  <si>
    <t>CTH1</t>
  </si>
  <si>
    <t>CTH2</t>
  </si>
  <si>
    <t>CTH3</t>
  </si>
  <si>
    <t>CTH4</t>
  </si>
  <si>
    <t>CTH5</t>
  </si>
  <si>
    <t>CTH6</t>
  </si>
  <si>
    <t>CTH7</t>
  </si>
  <si>
    <t>CTH8</t>
  </si>
  <si>
    <t>CTH9</t>
  </si>
  <si>
    <t>CTH10</t>
  </si>
  <si>
    <t>CTH11</t>
  </si>
  <si>
    <t>CTH12</t>
  </si>
  <si>
    <t>Developed low head power turbine for on site power generation, allows for intake, ducting, turbine and generator, and conection to Super Track Head Experience Hub</t>
  </si>
  <si>
    <t>Buses - Base of Operations</t>
  </si>
  <si>
    <t xml:space="preserve">Assumed development contribution to the Council for Connection of the Hub </t>
  </si>
  <si>
    <t>WW - Council Connection (Hub)</t>
  </si>
  <si>
    <t>PW - Council Connection (Hub)</t>
  </si>
  <si>
    <t>Jetty facility that would align with the Visitor Hub. Developed based on demand at location</t>
  </si>
  <si>
    <t>TAV1</t>
  </si>
  <si>
    <t>TAV2</t>
  </si>
  <si>
    <t>TAV3</t>
  </si>
  <si>
    <t>Parking provided for drop off and short term carparking and for Bus Transfers. Allowance for the equivalent of 60 vehicle parks</t>
  </si>
  <si>
    <t>Allowance for the realignment of roadways in the vicinity of the visitor hub and intersection upgrades for the movement of buses etc within Te Anau. Scope would require definition based on final selected location</t>
  </si>
  <si>
    <t xml:space="preserve">Shelter / Refuge style of development acting as a departure point for buses. Located adjacent to the Visitor Experience Hub </t>
  </si>
  <si>
    <t xml:space="preserve">Facility developed to act as the focal point for the overall experience in Te Anau. Ticketing, interactive displays, information, services. </t>
  </si>
  <si>
    <t>Provison for an enhanced enviroment including paving and landscaping surrounding the Visitor Hub</t>
  </si>
  <si>
    <t>Selected bus infrastructure for the conveyance of visitors to and from Piopiotahi</t>
  </si>
  <si>
    <t>Area for the operation and maintenance of buses to take visitors from Te Anau to Piopiotahi. Includes facilities for Bus driver resting, bus mainteance, charging and overnight housing</t>
  </si>
  <si>
    <t>Car Parking (Spaces) for Park and Ride. To be established adjacent to the Base of Operations for buses to make use of shared facilities, and to optimise the use of the pavement areas (peak season the bus storage area can be used for overflow parking)</t>
  </si>
  <si>
    <t>TAV4</t>
  </si>
  <si>
    <t>TAV8</t>
  </si>
  <si>
    <t>TAV5</t>
  </si>
  <si>
    <t>TAV7</t>
  </si>
  <si>
    <t>TAV6</t>
  </si>
  <si>
    <t>TAV9</t>
  </si>
  <si>
    <t>Modification required to the potable water systems in the vicinity of the Visitor Hub including connection costs to the Council Network</t>
  </si>
  <si>
    <t>Modification required to the wastewater systems in the vicinity of the Visitor Hub including connection costs to the Council Network</t>
  </si>
  <si>
    <t>TAB1</t>
  </si>
  <si>
    <t>TAB2</t>
  </si>
  <si>
    <t>TAB3</t>
  </si>
  <si>
    <t xml:space="preserve">Facilities </t>
  </si>
  <si>
    <t>Premiere_Landscaping</t>
  </si>
  <si>
    <t>Assumed, on average, to be equivalent in cost to a Paved Surface. Grassed / planted areas offset by paving and features installed.</t>
  </si>
  <si>
    <t>Wharf Structure</t>
  </si>
  <si>
    <t>Cost_Estimate_Summary</t>
  </si>
  <si>
    <t>All columns use vLookup to Cost_Estimates tab referencing the ID</t>
  </si>
  <si>
    <t>XXXX_30112020</t>
  </si>
  <si>
    <t>ID Key</t>
  </si>
  <si>
    <t xml:space="preserve">Description </t>
  </si>
  <si>
    <t>PHubX</t>
  </si>
  <si>
    <t>PDelX</t>
  </si>
  <si>
    <t>PDWX</t>
  </si>
  <si>
    <t>PFWX</t>
  </si>
  <si>
    <t>Piopiotahi Visitor Hub</t>
  </si>
  <si>
    <t>Piopiotahi Delta Experience and Surrounding Areas</t>
  </si>
  <si>
    <t>Piopiotahi Deep Water Basin</t>
  </si>
  <si>
    <t>Piopiotahi Fresh Water Basin</t>
  </si>
  <si>
    <t>CKFX</t>
  </si>
  <si>
    <t>CCEX</t>
  </si>
  <si>
    <t>Corridor Knobs Flat Experience</t>
  </si>
  <si>
    <t>Corridor Experience - away from Principal Nodes</t>
  </si>
  <si>
    <t>CTHX</t>
  </si>
  <si>
    <t>Corridor Super Track Head</t>
  </si>
  <si>
    <t>TAVX</t>
  </si>
  <si>
    <t>TABX</t>
  </si>
  <si>
    <t>Te Anau Visitor Hub Experience</t>
  </si>
  <si>
    <t>Te Anau Bus Services and Parking</t>
  </si>
  <si>
    <t>DO NOT make changes in this TAB</t>
  </si>
  <si>
    <t>Collation of Assumptions used (to be added to as required)</t>
  </si>
  <si>
    <t>Pontoon walkway connecting Ferry Terminal to the lower Bowen Falls Walkway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</si>
</sst>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_(&quot;$&quot;* #,##0.00_);_(&quot;$&quot;* \(#,##0.00\);_(&quot;$&quot;*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sz val="10"/>
      <name val="Arial"/>
      <family val="2"/>
    </font>
    <font>
      <sz val="11"/>
      <name val="Arial"/>
      <family val="2"/>
    </font>
    <font>
      <vertAlign val="superscript"/>
      <sz val="11"/>
      <color theme="1"/>
      <name val="Calibri"/>
      <family val="2"/>
      <scheme val="minor"/>
    </font>
    <font>
      <sz val="11"/>
      <name val="Calibri"/>
      <family val="2"/>
      <scheme val="minor"/>
    </font>
    <font>
      <b/>
      <sz val="11"/>
      <name val="Arial"/>
      <family val="2"/>
    </font>
    <font>
      <b/>
      <sz val="18"/>
      <color theme="0"/>
      <name val="Calibri"/>
      <family val="2"/>
      <scheme val="minor"/>
    </font>
    <font>
      <sz val="10"/>
      <color theme="1"/>
      <name val="Calibri"/>
      <family val="2"/>
    </font>
    <font>
      <b/>
      <sz val="14"/>
      <color theme="0"/>
      <name val="Calibri"/>
      <family val="2"/>
      <scheme val="minor"/>
    </font>
    <font>
      <sz val="11"/>
      <color theme="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rgb="FF7030A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44" fontId="1" fillId="0" borderId="0" applyFont="0" applyFill="0" applyBorder="0" applyAlignment="0" applyProtection="0"/>
    <xf numFmtId="165" fontId="7" fillId="0" borderId="0" applyFont="0" applyFill="0" applyBorder="0" applyAlignment="0" applyProtection="0"/>
    <xf numFmtId="0" fontId="7" fillId="0" borderId="0"/>
    <xf numFmtId="0" fontId="7" fillId="0" borderId="0" applyNumberFormat="0" applyFill="0" applyBorder="0" applyAlignment="0" applyProtection="0"/>
    <xf numFmtId="0" fontId="13" fillId="0" borderId="0"/>
    <xf numFmtId="43" fontId="1" fillId="0" borderId="0" applyFont="0" applyFill="0" applyBorder="0" applyAlignment="0" applyProtection="0"/>
  </cellStyleXfs>
  <cellXfs count="9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xf numFmtId="9" fontId="0" fillId="2"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horizontal="center" vertical="center"/>
    </xf>
    <xf numFmtId="0" fontId="0" fillId="0" borderId="0" xfId="0" applyAlignment="1">
      <alignment wrapText="1"/>
    </xf>
    <xf numFmtId="0" fontId="5"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4" fontId="8" fillId="5" borderId="1" xfId="2" applyNumberFormat="1" applyFont="1" applyFill="1" applyBorder="1" applyAlignment="1" applyProtection="1">
      <alignment horizontal="right" vertical="center"/>
      <protection locked="0"/>
    </xf>
    <xf numFmtId="0" fontId="0" fillId="0" borderId="1" xfId="0" applyBorder="1" applyAlignment="1">
      <alignmen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3" applyFont="1" applyBorder="1" applyAlignment="1" applyProtection="1">
      <alignment horizontal="center" vertical="center"/>
      <protection locked="0"/>
    </xf>
    <xf numFmtId="0" fontId="11" fillId="7" borderId="5" xfId="4" applyFont="1" applyFill="1" applyBorder="1" applyAlignment="1" applyProtection="1">
      <alignment horizontal="center"/>
      <protection locked="0"/>
    </xf>
    <xf numFmtId="0" fontId="11" fillId="7" borderId="6" xfId="4" applyFont="1" applyFill="1" applyBorder="1" applyAlignment="1" applyProtection="1">
      <alignment horizontal="center"/>
      <protection locked="0"/>
    </xf>
    <xf numFmtId="0" fontId="11" fillId="7" borderId="7" xfId="4" applyFont="1" applyFill="1" applyBorder="1" applyAlignment="1" applyProtection="1">
      <alignment horizontal="center" wrapText="1"/>
      <protection locked="0"/>
    </xf>
    <xf numFmtId="0" fontId="11" fillId="7" borderId="5" xfId="4" applyFont="1" applyFill="1" applyBorder="1" applyAlignment="1" applyProtection="1">
      <alignment horizontal="center" wrapText="1"/>
      <protection locked="0"/>
    </xf>
    <xf numFmtId="0" fontId="0" fillId="6" borderId="0" xfId="0" applyFill="1"/>
    <xf numFmtId="0" fontId="0" fillId="8" borderId="0" xfId="0" applyFill="1"/>
    <xf numFmtId="0" fontId="0" fillId="8" borderId="0" xfId="0" applyFill="1" applyAlignment="1">
      <alignment horizontal="center"/>
    </xf>
    <xf numFmtId="0" fontId="0" fillId="8" borderId="0" xfId="0" applyFill="1" applyAlignment="1">
      <alignment wrapText="1"/>
    </xf>
    <xf numFmtId="0" fontId="3" fillId="4" borderId="1" xfId="0" applyFont="1" applyFill="1" applyBorder="1" applyAlignment="1">
      <alignment horizontal="center" vertical="center" wrapText="1"/>
    </xf>
    <xf numFmtId="164" fontId="8" fillId="0" borderId="1" xfId="2" applyNumberFormat="1" applyFont="1" applyFill="1" applyBorder="1" applyAlignment="1" applyProtection="1">
      <alignment horizontal="right" vertical="center"/>
      <protection locked="0"/>
    </xf>
    <xf numFmtId="0" fontId="0" fillId="6" borderId="0" xfId="0" applyFill="1" applyAlignment="1">
      <alignment horizontal="left" vertical="top"/>
    </xf>
    <xf numFmtId="0" fontId="0" fillId="0" borderId="0" xfId="0" applyAlignment="1">
      <alignment horizontal="left" vertical="top"/>
    </xf>
    <xf numFmtId="0" fontId="0" fillId="0" borderId="2" xfId="0" applyBorder="1" applyAlignment="1">
      <alignment vertical="top" wrapText="1"/>
    </xf>
    <xf numFmtId="0" fontId="0" fillId="2" borderId="1" xfId="0" applyFill="1" applyBorder="1" applyAlignment="1">
      <alignment horizontal="center" vertical="center"/>
    </xf>
    <xf numFmtId="0" fontId="11" fillId="0" borderId="6" xfId="4" applyFont="1" applyFill="1" applyBorder="1" applyAlignment="1" applyProtection="1">
      <alignment horizontal="center"/>
      <protection locked="0"/>
    </xf>
    <xf numFmtId="165" fontId="8" fillId="0" borderId="1" xfId="2" applyFont="1" applyFill="1" applyBorder="1" applyAlignment="1" applyProtection="1">
      <alignment horizontal="right" vertical="center"/>
      <protection locked="0"/>
    </xf>
    <xf numFmtId="0" fontId="0" fillId="0" borderId="1" xfId="0" applyBorder="1" applyAlignment="1">
      <alignment vertical="top" wrapText="1"/>
    </xf>
    <xf numFmtId="44" fontId="0" fillId="3" borderId="1" xfId="1" applyFont="1" applyFill="1" applyBorder="1" applyAlignment="1">
      <alignment horizontal="center" vertical="center"/>
    </xf>
    <xf numFmtId="0" fontId="0" fillId="3" borderId="1" xfId="1" applyNumberFormat="1" applyFont="1" applyFill="1" applyBorder="1" applyAlignment="1">
      <alignment horizontal="center" vertical="center"/>
    </xf>
    <xf numFmtId="0" fontId="3" fillId="4" borderId="1" xfId="0" applyFont="1" applyFill="1" applyBorder="1" applyAlignment="1">
      <alignment vertical="center" wrapText="1"/>
    </xf>
    <xf numFmtId="0" fontId="0" fillId="0" borderId="4" xfId="0" applyBorder="1" applyAlignment="1">
      <alignment horizontal="center" vertical="center"/>
    </xf>
    <xf numFmtId="44" fontId="0" fillId="0" borderId="1" xfId="1" applyFont="1" applyBorder="1" applyAlignment="1">
      <alignment horizontal="center" vertical="center"/>
    </xf>
    <xf numFmtId="0" fontId="0" fillId="0" borderId="1" xfId="0" applyBorder="1" applyAlignment="1">
      <alignment horizontal="center"/>
    </xf>
    <xf numFmtId="0" fontId="0" fillId="0" borderId="4" xfId="0" applyBorder="1" applyAlignment="1">
      <alignment vertical="center"/>
    </xf>
    <xf numFmtId="0" fontId="0" fillId="2" borderId="1" xfId="0" applyFill="1" applyBorder="1" applyAlignment="1">
      <alignment vertical="center"/>
    </xf>
    <xf numFmtId="44" fontId="0" fillId="0" borderId="1" xfId="0" applyNumberFormat="1" applyBorder="1" applyAlignment="1">
      <alignment vertical="center"/>
    </xf>
    <xf numFmtId="0" fontId="0" fillId="0" borderId="3" xfId="0" applyBorder="1" applyAlignment="1">
      <alignment vertical="center"/>
    </xf>
    <xf numFmtId="0" fontId="0" fillId="9" borderId="1" xfId="0" applyFill="1" applyBorder="1" applyAlignment="1">
      <alignment horizontal="center" vertical="center"/>
    </xf>
    <xf numFmtId="164" fontId="8" fillId="11" borderId="1" xfId="2" applyNumberFormat="1" applyFont="1" applyFill="1" applyBorder="1" applyAlignment="1" applyProtection="1">
      <alignment horizontal="right" vertical="center"/>
      <protection locked="0"/>
    </xf>
    <xf numFmtId="0" fontId="0" fillId="0" borderId="1" xfId="0" applyBorder="1" applyAlignment="1">
      <alignment wrapText="1"/>
    </xf>
    <xf numFmtId="44" fontId="0" fillId="7" borderId="1" xfId="0" applyNumberFormat="1" applyFill="1" applyBorder="1" applyAlignment="1">
      <alignment vertical="center"/>
    </xf>
    <xf numFmtId="9" fontId="0" fillId="7" borderId="1" xfId="0" applyNumberFormat="1" applyFill="1" applyBorder="1" applyAlignment="1">
      <alignment horizontal="center" vertical="center"/>
    </xf>
    <xf numFmtId="0" fontId="5" fillId="0" borderId="1" xfId="0" applyFont="1" applyBorder="1" applyAlignment="1">
      <alignment wrapText="1"/>
    </xf>
    <xf numFmtId="0" fontId="5" fillId="0" borderId="1" xfId="0" applyFont="1" applyBorder="1" applyAlignment="1">
      <alignment vertical="top" wrapText="1"/>
    </xf>
    <xf numFmtId="0" fontId="0" fillId="0" borderId="0" xfId="0" applyAlignment="1">
      <alignment horizontal="right"/>
    </xf>
    <xf numFmtId="9" fontId="0" fillId="0" borderId="0" xfId="0" applyNumberFormat="1"/>
    <xf numFmtId="0" fontId="0" fillId="0" borderId="0" xfId="0" quotePrefix="1"/>
    <xf numFmtId="0" fontId="12" fillId="12" borderId="0" xfId="0" applyFont="1" applyFill="1" applyAlignment="1">
      <alignment vertical="center"/>
    </xf>
    <xf numFmtId="0" fontId="0" fillId="7" borderId="1" xfId="0" applyFill="1" applyBorder="1" applyAlignment="1">
      <alignment vertical="center"/>
    </xf>
    <xf numFmtId="0" fontId="0" fillId="7" borderId="1" xfId="0" applyFill="1" applyBorder="1" applyAlignment="1">
      <alignment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3" fillId="13" borderId="1" xfId="0" applyFont="1" applyFill="1" applyBorder="1" applyAlignment="1">
      <alignment horizontal="center" vertical="center"/>
    </xf>
    <xf numFmtId="0" fontId="14" fillId="12" borderId="0" xfId="0" applyFont="1" applyFill="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 xfId="0" applyBorder="1" applyAlignment="1">
      <alignment horizontal="left" vertical="top" wrapText="1"/>
    </xf>
    <xf numFmtId="43" fontId="0" fillId="0" borderId="1" xfId="6" applyFont="1" applyBorder="1" applyAlignment="1">
      <alignment vertical="center"/>
    </xf>
    <xf numFmtId="43" fontId="0" fillId="0" borderId="1" xfId="6" applyFont="1" applyBorder="1" applyAlignment="1">
      <alignment vertical="center" wrapText="1"/>
    </xf>
    <xf numFmtId="43" fontId="0" fillId="3" borderId="1" xfId="6" applyFont="1" applyFill="1" applyBorder="1" applyAlignment="1">
      <alignment horizontal="center" vertical="center"/>
    </xf>
    <xf numFmtId="43" fontId="0" fillId="0" borderId="1" xfId="6" applyFont="1" applyBorder="1" applyAlignment="1">
      <alignment horizontal="center" vertical="center"/>
    </xf>
    <xf numFmtId="43" fontId="0" fillId="2" borderId="1" xfId="6" applyFont="1" applyFill="1" applyBorder="1" applyAlignment="1">
      <alignment horizontal="center" vertical="center"/>
    </xf>
    <xf numFmtId="43" fontId="0" fillId="0" borderId="1" xfId="6" applyFont="1" applyBorder="1" applyAlignment="1">
      <alignment horizontal="left" vertical="top" wrapText="1"/>
    </xf>
    <xf numFmtId="43" fontId="0" fillId="0" borderId="0" xfId="6" applyFont="1"/>
    <xf numFmtId="0" fontId="0" fillId="0" borderId="1" xfId="0" applyBorder="1" applyAlignment="1">
      <alignment horizontal="left" vertical="top"/>
    </xf>
    <xf numFmtId="0" fontId="8" fillId="0" borderId="1" xfId="0" applyFont="1" applyBorder="1" applyAlignment="1">
      <alignment vertical="top" wrapText="1"/>
    </xf>
    <xf numFmtId="0" fontId="0" fillId="10" borderId="1" xfId="0" applyFill="1" applyBorder="1" applyAlignment="1">
      <alignment vertical="top" wrapText="1"/>
    </xf>
    <xf numFmtId="0" fontId="0" fillId="0" borderId="3" xfId="0" applyBorder="1" applyAlignment="1">
      <alignment vertical="center" wrapText="1"/>
    </xf>
    <xf numFmtId="0" fontId="0" fillId="0" borderId="0" xfId="0" applyAlignment="1">
      <alignment vertical="center" wrapText="1"/>
    </xf>
    <xf numFmtId="0" fontId="0" fillId="9" borderId="1" xfId="0" applyFill="1" applyBorder="1" applyAlignment="1">
      <alignment vertical="center"/>
    </xf>
    <xf numFmtId="44" fontId="0" fillId="14" borderId="1" xfId="1" applyFont="1" applyFill="1" applyBorder="1" applyAlignment="1">
      <alignment horizontal="center" vertical="center"/>
    </xf>
    <xf numFmtId="0" fontId="0" fillId="14" borderId="1" xfId="0" applyFill="1" applyBorder="1" applyAlignment="1">
      <alignment horizontal="center" vertical="center"/>
    </xf>
    <xf numFmtId="0" fontId="0" fillId="15" borderId="1" xfId="0" applyFill="1" applyBorder="1" applyAlignment="1">
      <alignment vertical="center"/>
    </xf>
    <xf numFmtId="0" fontId="0" fillId="15" borderId="1" xfId="0" applyFill="1" applyBorder="1" applyAlignment="1">
      <alignment vertical="center" wrapText="1"/>
    </xf>
    <xf numFmtId="0" fontId="0" fillId="12" borderId="1" xfId="0" applyFill="1" applyBorder="1" applyAlignment="1">
      <alignment vertical="center"/>
    </xf>
    <xf numFmtId="0" fontId="0" fillId="12" borderId="1" xfId="0" applyFill="1" applyBorder="1" applyAlignment="1">
      <alignment vertical="center" wrapText="1"/>
    </xf>
    <xf numFmtId="44" fontId="0" fillId="12" borderId="1" xfId="1" applyFont="1" applyFill="1" applyBorder="1" applyAlignment="1">
      <alignment horizontal="center" vertical="center"/>
    </xf>
    <xf numFmtId="0" fontId="0" fillId="12" borderId="1" xfId="0" applyFill="1" applyBorder="1" applyAlignment="1">
      <alignment horizontal="center" vertical="center"/>
    </xf>
    <xf numFmtId="44" fontId="0" fillId="12" borderId="1" xfId="0" applyNumberFormat="1" applyFill="1" applyBorder="1" applyAlignment="1">
      <alignment vertical="center"/>
    </xf>
    <xf numFmtId="9" fontId="0" fillId="12" borderId="1" xfId="0" applyNumberFormat="1" applyFill="1" applyBorder="1" applyAlignment="1">
      <alignment horizontal="center" vertical="center"/>
    </xf>
    <xf numFmtId="0" fontId="0" fillId="12" borderId="1" xfId="0" applyFill="1" applyBorder="1" applyAlignment="1">
      <alignment horizontal="left" vertical="top" wrapText="1"/>
    </xf>
    <xf numFmtId="164" fontId="15" fillId="14" borderId="1" xfId="2" applyNumberFormat="1" applyFont="1" applyFill="1" applyBorder="1" applyAlignment="1" applyProtection="1">
      <alignment horizontal="right" vertical="center"/>
      <protection locked="0"/>
    </xf>
    <xf numFmtId="0" fontId="0" fillId="12" borderId="0" xfId="0" applyFill="1"/>
    <xf numFmtId="0" fontId="3" fillId="13" borderId="1" xfId="0" applyFont="1" applyFill="1" applyBorder="1" applyAlignment="1">
      <alignment horizontal="left" vertical="top" wrapText="1"/>
    </xf>
    <xf numFmtId="0" fontId="0" fillId="0" borderId="1" xfId="0" applyBorder="1" applyAlignment="1">
      <alignment horizontal="left" vertical="top"/>
    </xf>
    <xf numFmtId="0" fontId="8" fillId="0" borderId="1" xfId="0" applyFont="1"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left" vertical="center"/>
    </xf>
  </cellXfs>
  <cellStyles count="7">
    <cellStyle name="Comma" xfId="6" builtinId="3"/>
    <cellStyle name="Currency" xfId="1" builtinId="4"/>
    <cellStyle name="Currency 3" xfId="2" xr:uid="{53B31EE2-F6C3-4819-9E7C-660849553809}"/>
    <cellStyle name="Normal" xfId="0" builtinId="0"/>
    <cellStyle name="Normal 2" xfId="4" xr:uid="{6A7745CD-C7F4-4A89-ABEC-46E17D2211C4}"/>
    <cellStyle name="Normal 3" xfId="3" xr:uid="{56358AAA-869D-4DC6-A3C3-009A79DE5769}"/>
    <cellStyle name="Normal 4" xfId="5" xr:uid="{583E40D3-A5E2-4E72-B64D-5AB9AC5B39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324073</xdr:colOff>
      <xdr:row>17</xdr:row>
      <xdr:rowOff>84087</xdr:rowOff>
    </xdr:from>
    <xdr:to>
      <xdr:col>5</xdr:col>
      <xdr:colOff>111161</xdr:colOff>
      <xdr:row>20</xdr:row>
      <xdr:rowOff>190070</xdr:rowOff>
    </xdr:to>
    <xdr:sp macro="" textlink="">
      <xdr:nvSpPr>
        <xdr:cNvPr id="2" name="TextBox 1">
          <a:extLst>
            <a:ext uri="{FF2B5EF4-FFF2-40B4-BE49-F238E27FC236}">
              <a16:creationId xmlns:a16="http://schemas.microsoft.com/office/drawing/2014/main" id="{6954A706-F84F-5F0C-185F-0561B3774F8B}"/>
            </a:ext>
          </a:extLst>
        </xdr:cNvPr>
        <xdr:cNvSpPr txBox="1"/>
      </xdr:nvSpPr>
      <xdr:spPr>
        <a:xfrm rot="20755184">
          <a:off x="2161838" y="4756940"/>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29</xdr:row>
      <xdr:rowOff>0</xdr:rowOff>
    </xdr:from>
    <xdr:to>
      <xdr:col>9</xdr:col>
      <xdr:colOff>1068760</xdr:colOff>
      <xdr:row>29</xdr:row>
      <xdr:rowOff>677483</xdr:rowOff>
    </xdr:to>
    <xdr:sp macro="" textlink="">
      <xdr:nvSpPr>
        <xdr:cNvPr id="2" name="TextBox 1">
          <a:extLst>
            <a:ext uri="{FF2B5EF4-FFF2-40B4-BE49-F238E27FC236}">
              <a16:creationId xmlns:a16="http://schemas.microsoft.com/office/drawing/2014/main" id="{7D90D53B-2260-4DAE-B086-7B8D96971F63}"/>
            </a:ext>
          </a:extLst>
        </xdr:cNvPr>
        <xdr:cNvSpPr txBox="1"/>
      </xdr:nvSpPr>
      <xdr:spPr>
        <a:xfrm rot="20755184">
          <a:off x="6679406" y="21145500"/>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twoCellAnchor>
    <xdr:from>
      <xdr:col>1</xdr:col>
      <xdr:colOff>1059656</xdr:colOff>
      <xdr:row>7</xdr:row>
      <xdr:rowOff>107155</xdr:rowOff>
    </xdr:from>
    <xdr:to>
      <xdr:col>4</xdr:col>
      <xdr:colOff>4283448</xdr:colOff>
      <xdr:row>8</xdr:row>
      <xdr:rowOff>22638</xdr:rowOff>
    </xdr:to>
    <xdr:sp macro="" textlink="">
      <xdr:nvSpPr>
        <xdr:cNvPr id="3" name="TextBox 2">
          <a:extLst>
            <a:ext uri="{FF2B5EF4-FFF2-40B4-BE49-F238E27FC236}">
              <a16:creationId xmlns:a16="http://schemas.microsoft.com/office/drawing/2014/main" id="{C8444352-1764-4182-BE9D-D1AB43CEDE21}"/>
            </a:ext>
          </a:extLst>
        </xdr:cNvPr>
        <xdr:cNvSpPr txBox="1"/>
      </xdr:nvSpPr>
      <xdr:spPr>
        <a:xfrm rot="20755184">
          <a:off x="1583531" y="4488655"/>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297657</xdr:colOff>
      <xdr:row>9</xdr:row>
      <xdr:rowOff>345282</xdr:rowOff>
    </xdr:from>
    <xdr:to>
      <xdr:col>5</xdr:col>
      <xdr:colOff>1842667</xdr:colOff>
      <xdr:row>11</xdr:row>
      <xdr:rowOff>70265</xdr:rowOff>
    </xdr:to>
    <xdr:sp macro="" textlink="">
      <xdr:nvSpPr>
        <xdr:cNvPr id="2" name="TextBox 1">
          <a:extLst>
            <a:ext uri="{FF2B5EF4-FFF2-40B4-BE49-F238E27FC236}">
              <a16:creationId xmlns:a16="http://schemas.microsoft.com/office/drawing/2014/main" id="{2E69FF58-1C21-4C9F-8E49-AEFDC346F6C5}"/>
            </a:ext>
          </a:extLst>
        </xdr:cNvPr>
        <xdr:cNvSpPr txBox="1"/>
      </xdr:nvSpPr>
      <xdr:spPr>
        <a:xfrm rot="20755184">
          <a:off x="821532" y="4357688"/>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578756</xdr:colOff>
      <xdr:row>0</xdr:row>
      <xdr:rowOff>125639</xdr:rowOff>
    </xdr:from>
    <xdr:to>
      <xdr:col>20</xdr:col>
      <xdr:colOff>467206</xdr:colOff>
      <xdr:row>13</xdr:row>
      <xdr:rowOff>231321</xdr:rowOff>
    </xdr:to>
    <xdr:pic>
      <xdr:nvPicPr>
        <xdr:cNvPr id="3" name="Picture 2">
          <a:extLst>
            <a:ext uri="{FF2B5EF4-FFF2-40B4-BE49-F238E27FC236}">
              <a16:creationId xmlns:a16="http://schemas.microsoft.com/office/drawing/2014/main" id="{8AA073D1-A2C0-48DA-B026-9011B4D62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17720" y="125639"/>
          <a:ext cx="7236307" cy="7970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74385</xdr:colOff>
      <xdr:row>14</xdr:row>
      <xdr:rowOff>224974</xdr:rowOff>
    </xdr:from>
    <xdr:to>
      <xdr:col>20</xdr:col>
      <xdr:colOff>409122</xdr:colOff>
      <xdr:row>18</xdr:row>
      <xdr:rowOff>448131</xdr:rowOff>
    </xdr:to>
    <xdr:pic>
      <xdr:nvPicPr>
        <xdr:cNvPr id="4" name="Picture 3">
          <a:extLst>
            <a:ext uri="{FF2B5EF4-FFF2-40B4-BE49-F238E27FC236}">
              <a16:creationId xmlns:a16="http://schemas.microsoft.com/office/drawing/2014/main" id="{E695EF64-70AE-4241-83BE-3D812068B2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25671" y="8062688"/>
          <a:ext cx="7070272" cy="3648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802821</xdr:colOff>
      <xdr:row>5</xdr:row>
      <xdr:rowOff>245007</xdr:rowOff>
    </xdr:from>
    <xdr:to>
      <xdr:col>6</xdr:col>
      <xdr:colOff>2929537</xdr:colOff>
      <xdr:row>7</xdr:row>
      <xdr:rowOff>187704</xdr:rowOff>
    </xdr:to>
    <xdr:sp macro="" textlink="">
      <xdr:nvSpPr>
        <xdr:cNvPr id="2" name="TextBox 1">
          <a:extLst>
            <a:ext uri="{FF2B5EF4-FFF2-40B4-BE49-F238E27FC236}">
              <a16:creationId xmlns:a16="http://schemas.microsoft.com/office/drawing/2014/main" id="{CD78AC1A-BF25-435D-95AF-AC3AEBE7FDB4}"/>
            </a:ext>
          </a:extLst>
        </xdr:cNvPr>
        <xdr:cNvSpPr txBox="1"/>
      </xdr:nvSpPr>
      <xdr:spPr>
        <a:xfrm rot="20755184">
          <a:off x="2299607" y="3497114"/>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15</xdr:row>
      <xdr:rowOff>0</xdr:rowOff>
    </xdr:from>
    <xdr:to>
      <xdr:col>5</xdr:col>
      <xdr:colOff>121023</xdr:colOff>
      <xdr:row>18</xdr:row>
      <xdr:rowOff>105983</xdr:rowOff>
    </xdr:to>
    <xdr:sp macro="" textlink="">
      <xdr:nvSpPr>
        <xdr:cNvPr id="2" name="TextBox 1">
          <a:extLst>
            <a:ext uri="{FF2B5EF4-FFF2-40B4-BE49-F238E27FC236}">
              <a16:creationId xmlns:a16="http://schemas.microsoft.com/office/drawing/2014/main" id="{EB7E7E98-6968-4F6C-976D-A2F4E38E8687}"/>
            </a:ext>
          </a:extLst>
        </xdr:cNvPr>
        <xdr:cNvSpPr txBox="1"/>
      </xdr:nvSpPr>
      <xdr:spPr>
        <a:xfrm rot="20755184">
          <a:off x="571500" y="3429000"/>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312963</xdr:colOff>
      <xdr:row>19</xdr:row>
      <xdr:rowOff>27213</xdr:rowOff>
    </xdr:from>
    <xdr:to>
      <xdr:col>17</xdr:col>
      <xdr:colOff>507465</xdr:colOff>
      <xdr:row>22</xdr:row>
      <xdr:rowOff>133196</xdr:rowOff>
    </xdr:to>
    <xdr:sp macro="" textlink="">
      <xdr:nvSpPr>
        <xdr:cNvPr id="2" name="TextBox 1">
          <a:extLst>
            <a:ext uri="{FF2B5EF4-FFF2-40B4-BE49-F238E27FC236}">
              <a16:creationId xmlns:a16="http://schemas.microsoft.com/office/drawing/2014/main" id="{44A2FA73-E474-4E4D-A0E0-C5F050D8A641}"/>
            </a:ext>
          </a:extLst>
        </xdr:cNvPr>
        <xdr:cNvSpPr txBox="1"/>
      </xdr:nvSpPr>
      <xdr:spPr>
        <a:xfrm rot="20755184">
          <a:off x="1537606" y="3646713"/>
          <a:ext cx="9379323" cy="67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20000"/>
                </a:srgbClr>
              </a:solidFill>
            </a:rPr>
            <a:t>RELEASED BY THE MINISTER OF CONSERVATION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tec.sharepoint.com/teams/MilfordSoundOpportunity/Shared%20Documents/T05-%20Infrastructure%20Assessment/3%20Waters%20PBC%20Programmes%2014%20Sep%20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Framework"/>
      <sheetName val="Risk Assessment-Infrastructure"/>
      <sheetName val="Risk Assessment-Compliance"/>
      <sheetName val="Summary by Water, Prison, Prog"/>
      <sheetName val="Summary Global interventions"/>
      <sheetName val="Summary of Investigation Prog"/>
      <sheetName val="Intervention descriptions"/>
      <sheetName val="Notes"/>
      <sheetName val="Summary"/>
      <sheetName val="Programme"/>
      <sheetName val="Lookups"/>
      <sheetName val="Cost Lookups"/>
      <sheetName val="Opex cost lookups"/>
      <sheetName val="3 Waters Costings"/>
      <sheetName val="Reference Costings"/>
      <sheetName val="NL"/>
      <sheetName val="AK"/>
      <sheetName val="ME"/>
      <sheetName val="AW"/>
      <sheetName val="ASCF"/>
      <sheetName val="SHCF"/>
      <sheetName val="WK"/>
      <sheetName val="TR"/>
      <sheetName val="WG"/>
      <sheetName val="HB"/>
      <sheetName val="MA"/>
      <sheetName val="RM"/>
      <sheetName val="AO"/>
      <sheetName val="CP"/>
      <sheetName val="CW"/>
      <sheetName val="RO"/>
      <sheetName val="OT"/>
      <sheetName val="IN"/>
      <sheetName val="Current State"/>
      <sheetName val="Summary_Renewal Costs"/>
      <sheetName val="FM Markup"/>
    </sheetNames>
    <sheetDataSet>
      <sheetData sheetId="0"/>
      <sheetData sheetId="1"/>
      <sheetData sheetId="2"/>
      <sheetData sheetId="3"/>
      <sheetData sheetId="4"/>
      <sheetData sheetId="5"/>
      <sheetData sheetId="6"/>
      <sheetData sheetId="7"/>
      <sheetData sheetId="8"/>
      <sheetData sheetId="9"/>
      <sheetData sheetId="10">
        <row r="2">
          <cell r="A2" t="str">
            <v>N/A</v>
          </cell>
        </row>
        <row r="3">
          <cell r="A3" t="str">
            <v>Do Min</v>
          </cell>
        </row>
        <row r="4">
          <cell r="A4" t="str">
            <v>Do Mod</v>
          </cell>
        </row>
        <row r="5">
          <cell r="A5" t="str">
            <v>Do Max</v>
          </cell>
        </row>
        <row r="6">
          <cell r="A6" t="str">
            <v>Future</v>
          </cell>
        </row>
        <row r="11">
          <cell r="A11" t="str">
            <v>ARWCF</v>
          </cell>
          <cell r="B11" t="str">
            <v>Akl Womens</v>
          </cell>
          <cell r="C11" t="str">
            <v>North Island</v>
          </cell>
          <cell r="D11" t="str">
            <v>Extreme</v>
          </cell>
          <cell r="E11" t="str">
            <v>Extreme</v>
          </cell>
          <cell r="G11" t="str">
            <v>1-Asset renewal</v>
          </cell>
          <cell r="H11" t="str">
            <v>Renewal capex</v>
          </cell>
          <cell r="J11" t="str">
            <v>55-Renewal plan-INV</v>
          </cell>
          <cell r="K11" t="str">
            <v>Distribution</v>
          </cell>
          <cell r="L11" t="str">
            <v>Conveyance</v>
          </cell>
          <cell r="M11" t="str">
            <v>Conveyance</v>
          </cell>
          <cell r="O11" t="str">
            <v>site</v>
          </cell>
        </row>
        <row r="12">
          <cell r="A12" t="str">
            <v>Arohata</v>
          </cell>
          <cell r="B12" t="str">
            <v>Arohata</v>
          </cell>
          <cell r="C12" t="str">
            <v>North Island</v>
          </cell>
          <cell r="D12" t="str">
            <v>Major</v>
          </cell>
          <cell r="E12" t="str">
            <v>Severe</v>
          </cell>
          <cell r="G12" t="str">
            <v>2-Reline gravity pipes</v>
          </cell>
          <cell r="H12" t="str">
            <v>Renewal capex</v>
          </cell>
          <cell r="J12" t="str">
            <v>55-Renewal plan-INV</v>
          </cell>
          <cell r="L12" t="str">
            <v>Conveyance</v>
          </cell>
          <cell r="M12" t="str">
            <v>Conveyance</v>
          </cell>
          <cell r="O12" t="str">
            <v>site</v>
          </cell>
        </row>
        <row r="13">
          <cell r="A13" t="str">
            <v>CWP</v>
          </cell>
          <cell r="B13" t="str">
            <v>Chch Women's</v>
          </cell>
          <cell r="C13" t="str">
            <v>South Island</v>
          </cell>
          <cell r="D13" t="str">
            <v>Moderate</v>
          </cell>
          <cell r="E13" t="str">
            <v>Major</v>
          </cell>
          <cell r="G13" t="str">
            <v>3-PW Bores</v>
          </cell>
          <cell r="H13" t="str">
            <v>New capex</v>
          </cell>
          <cell r="J13" t="str">
            <v>55-Renewal plan-INV</v>
          </cell>
          <cell r="K13" t="str">
            <v>Supply</v>
          </cell>
          <cell r="O13" t="str">
            <v>site</v>
          </cell>
        </row>
        <row r="14">
          <cell r="A14" t="str">
            <v>MECF</v>
          </cell>
          <cell r="B14" t="str">
            <v>Mt Eden</v>
          </cell>
          <cell r="C14" t="str">
            <v>North Island</v>
          </cell>
          <cell r="D14" t="str">
            <v>Extreme</v>
          </cell>
          <cell r="E14" t="str">
            <v>Extreme</v>
          </cell>
          <cell r="G14" t="str">
            <v>4-Desilt SW ponds</v>
          </cell>
          <cell r="H14" t="str">
            <v>Renewal capex</v>
          </cell>
          <cell r="J14" t="str">
            <v>55-Renewal plan-INV</v>
          </cell>
          <cell r="M14" t="str">
            <v>Disposal</v>
          </cell>
          <cell r="O14" t="str">
            <v>site</v>
          </cell>
        </row>
        <row r="15">
          <cell r="A15" t="str">
            <v>ASCF</v>
          </cell>
          <cell r="B15" t="str">
            <v>Auckland South (PPP)</v>
          </cell>
          <cell r="C15" t="str">
            <v>North Island</v>
          </cell>
          <cell r="D15" t="str">
            <v>Extreme</v>
          </cell>
          <cell r="E15" t="str">
            <v>Extreme</v>
          </cell>
          <cell r="G15" t="str">
            <v>5-Ring mains</v>
          </cell>
          <cell r="H15" t="str">
            <v>New capex</v>
          </cell>
          <cell r="J15" t="str">
            <v>18-Resilience-INV</v>
          </cell>
          <cell r="K15" t="str">
            <v>Distribution</v>
          </cell>
          <cell r="O15" t="str">
            <v>site</v>
          </cell>
        </row>
        <row r="16">
          <cell r="A16" t="str">
            <v>Rimutaka</v>
          </cell>
          <cell r="B16" t="str">
            <v>Rimutaka</v>
          </cell>
          <cell r="C16" t="str">
            <v>North Island</v>
          </cell>
          <cell r="D16" t="str">
            <v>Extreme</v>
          </cell>
          <cell r="E16" t="str">
            <v>Extreme</v>
          </cell>
          <cell r="G16" t="str">
            <v>6-Storage</v>
          </cell>
          <cell r="H16" t="str">
            <v>New capex</v>
          </cell>
          <cell r="J16" t="str">
            <v>54-System Capacity-INV</v>
          </cell>
          <cell r="K16" t="str">
            <v>Storage</v>
          </cell>
          <cell r="L16" t="str">
            <v>Disposal</v>
          </cell>
          <cell r="M16" t="str">
            <v>Disposal</v>
          </cell>
          <cell r="O16" t="str">
            <v>m³</v>
          </cell>
        </row>
        <row r="17">
          <cell r="A17" t="str">
            <v>CMP</v>
          </cell>
          <cell r="B17" t="str">
            <v>Chch Men's</v>
          </cell>
          <cell r="C17" t="str">
            <v>South Island</v>
          </cell>
          <cell r="D17" t="str">
            <v>Extreme</v>
          </cell>
          <cell r="E17" t="str">
            <v>Extreme</v>
          </cell>
          <cell r="G17" t="str">
            <v>7-Emergency bores</v>
          </cell>
          <cell r="H17" t="str">
            <v>New capex</v>
          </cell>
          <cell r="J17" t="str">
            <v>18-Resilience-INV</v>
          </cell>
          <cell r="K17" t="str">
            <v>Supply</v>
          </cell>
          <cell r="O17" t="str">
            <v>site</v>
          </cell>
        </row>
        <row r="18">
          <cell r="A18" t="str">
            <v>SHCF</v>
          </cell>
          <cell r="B18" t="str">
            <v>Spring Hill</v>
          </cell>
          <cell r="C18" t="str">
            <v>North Island</v>
          </cell>
          <cell r="D18" t="str">
            <v>Extreme</v>
          </cell>
          <cell r="E18" t="str">
            <v>Extreme</v>
          </cell>
          <cell r="G18" t="str">
            <v>8-Treatment upgrades</v>
          </cell>
          <cell r="H18" t="str">
            <v>New capex</v>
          </cell>
          <cell r="J18" t="str">
            <v>54-System Capacity-INV</v>
          </cell>
          <cell r="K18" t="str">
            <v>Treatment</v>
          </cell>
          <cell r="L18" t="str">
            <v>Treatment</v>
          </cell>
          <cell r="M18" t="str">
            <v>Treatment</v>
          </cell>
          <cell r="O18" t="str">
            <v>site</v>
          </cell>
        </row>
        <row r="19">
          <cell r="A19" t="str">
            <v>Waikeria</v>
          </cell>
          <cell r="B19" t="str">
            <v>Waikeria</v>
          </cell>
          <cell r="C19" t="str">
            <v>North Island</v>
          </cell>
          <cell r="D19" t="str">
            <v>Major</v>
          </cell>
          <cell r="E19" t="str">
            <v>Severe</v>
          </cell>
          <cell r="G19" t="str">
            <v>9-Sub-metering PW and WW</v>
          </cell>
          <cell r="H19" t="str">
            <v>New capex</v>
          </cell>
          <cell r="J19" t="str">
            <v>52-Asset info onsite-INV</v>
          </cell>
          <cell r="K19" t="str">
            <v>Distribution</v>
          </cell>
          <cell r="L19" t="str">
            <v>Conveyance</v>
          </cell>
          <cell r="O19" t="str">
            <v>site</v>
          </cell>
        </row>
        <row r="20">
          <cell r="A20" t="str">
            <v>Hawkes Bay</v>
          </cell>
          <cell r="B20" t="str">
            <v>Hawkes Bay</v>
          </cell>
          <cell r="C20" t="str">
            <v>North Island</v>
          </cell>
          <cell r="D20" t="str">
            <v>Moderate</v>
          </cell>
          <cell r="E20" t="str">
            <v>Major</v>
          </cell>
          <cell r="G20" t="str">
            <v>10-SCADA</v>
          </cell>
          <cell r="H20" t="str">
            <v>New capex</v>
          </cell>
          <cell r="J20" t="str">
            <v>52-Asset info onsite-INV</v>
          </cell>
          <cell r="K20" t="str">
            <v>All</v>
          </cell>
          <cell r="L20" t="str">
            <v>All</v>
          </cell>
          <cell r="M20" t="str">
            <v>All</v>
          </cell>
          <cell r="O20" t="str">
            <v>site</v>
          </cell>
        </row>
        <row r="21">
          <cell r="A21" t="str">
            <v>NRCF</v>
          </cell>
          <cell r="B21" t="str">
            <v>Northland</v>
          </cell>
          <cell r="C21" t="str">
            <v>North Island</v>
          </cell>
          <cell r="D21" t="str">
            <v>Moderate</v>
          </cell>
          <cell r="E21" t="str">
            <v>Major</v>
          </cell>
          <cell r="G21" t="str">
            <v>11a-Inflow Infiltration-INV</v>
          </cell>
          <cell r="H21" t="str">
            <v>Investigation</v>
          </cell>
          <cell r="J21" t="str">
            <v>19-Condition below ground-1-INV</v>
          </cell>
          <cell r="L21" t="str">
            <v>Disposal</v>
          </cell>
          <cell r="O21" t="str">
            <v>site</v>
          </cell>
        </row>
        <row r="22">
          <cell r="A22" t="str">
            <v>Auckland</v>
          </cell>
          <cell r="B22" t="str">
            <v>Auckland (PPP)</v>
          </cell>
          <cell r="C22" t="str">
            <v>North Island</v>
          </cell>
          <cell r="D22" t="str">
            <v>Moderate</v>
          </cell>
          <cell r="E22" t="str">
            <v>Major</v>
          </cell>
          <cell r="G22" t="str">
            <v>11b-Inflow Infiltration</v>
          </cell>
          <cell r="H22" t="str">
            <v>Totex</v>
          </cell>
          <cell r="J22" t="str">
            <v>11-Inflow Infiltration-INV</v>
          </cell>
          <cell r="L22" t="str">
            <v>Disposal</v>
          </cell>
          <cell r="O22" t="str">
            <v>site</v>
          </cell>
        </row>
        <row r="23">
          <cell r="A23" t="str">
            <v>Whanganui</v>
          </cell>
          <cell r="B23" t="str">
            <v>Whanganui</v>
          </cell>
          <cell r="C23" t="str">
            <v>North Island</v>
          </cell>
          <cell r="D23" t="str">
            <v>Minor</v>
          </cell>
          <cell r="E23" t="str">
            <v>Serious</v>
          </cell>
          <cell r="G23" t="str">
            <v>12-Manawatu pipeline</v>
          </cell>
          <cell r="H23" t="str">
            <v>New capex</v>
          </cell>
          <cell r="J23" t="str">
            <v>None</v>
          </cell>
          <cell r="K23" t="str">
            <v>Supply</v>
          </cell>
          <cell r="O23" t="str">
            <v>site</v>
          </cell>
        </row>
        <row r="24">
          <cell r="A24" t="str">
            <v>OCF</v>
          </cell>
          <cell r="B24" t="str">
            <v>Otago</v>
          </cell>
          <cell r="C24" t="str">
            <v>South Island</v>
          </cell>
          <cell r="D24" t="str">
            <v>Minor</v>
          </cell>
          <cell r="E24" t="str">
            <v>Serious</v>
          </cell>
          <cell r="G24" t="str">
            <v>13-Contingency plans</v>
          </cell>
          <cell r="H24" t="str">
            <v>Institutional</v>
          </cell>
          <cell r="J24" t="str">
            <v>18-Resilience-INV</v>
          </cell>
          <cell r="K24" t="str">
            <v>All</v>
          </cell>
          <cell r="L24" t="str">
            <v>All</v>
          </cell>
          <cell r="M24" t="str">
            <v>All</v>
          </cell>
          <cell r="N24" t="str">
            <v>2 to 4</v>
          </cell>
          <cell r="O24" t="str">
            <v>site</v>
          </cell>
        </row>
        <row r="25">
          <cell r="A25" t="str">
            <v>Tongariro</v>
          </cell>
          <cell r="B25" t="str">
            <v>Tongariro</v>
          </cell>
          <cell r="C25" t="str">
            <v>North Island</v>
          </cell>
          <cell r="D25" t="str">
            <v>Minimal</v>
          </cell>
          <cell r="E25" t="str">
            <v>High</v>
          </cell>
          <cell r="G25" t="str">
            <v>14-Security-INV</v>
          </cell>
          <cell r="H25" t="str">
            <v>Investigation</v>
          </cell>
          <cell r="J25" t="str">
            <v>52-Asset info onsite-INV</v>
          </cell>
          <cell r="K25" t="str">
            <v>All</v>
          </cell>
          <cell r="L25" t="str">
            <v>All</v>
          </cell>
          <cell r="M25" t="str">
            <v>All</v>
          </cell>
          <cell r="O25" t="str">
            <v>site</v>
          </cell>
        </row>
        <row r="26">
          <cell r="A26" t="str">
            <v>Rolleston</v>
          </cell>
          <cell r="B26" t="str">
            <v>Rolleston</v>
          </cell>
          <cell r="C26" t="str">
            <v>South Island</v>
          </cell>
          <cell r="D26" t="str">
            <v>Minimal</v>
          </cell>
          <cell r="E26" t="str">
            <v>High</v>
          </cell>
          <cell r="G26" t="str">
            <v>14-Security</v>
          </cell>
          <cell r="H26" t="str">
            <v>Totex</v>
          </cell>
          <cell r="J26" t="str">
            <v>14-Security-INV</v>
          </cell>
          <cell r="K26" t="str">
            <v>All</v>
          </cell>
          <cell r="L26" t="str">
            <v>All</v>
          </cell>
          <cell r="M26" t="str">
            <v>All</v>
          </cell>
          <cell r="N26">
            <v>8</v>
          </cell>
          <cell r="O26" t="str">
            <v>site</v>
          </cell>
        </row>
        <row r="27">
          <cell r="A27" t="str">
            <v>Manawatu</v>
          </cell>
          <cell r="B27" t="str">
            <v>Manawatu</v>
          </cell>
          <cell r="C27" t="str">
            <v>North Island</v>
          </cell>
          <cell r="D27" t="str">
            <v>Minimal</v>
          </cell>
          <cell r="E27" t="str">
            <v>High</v>
          </cell>
          <cell r="G27" t="str">
            <v>15-Ring fence</v>
          </cell>
          <cell r="H27" t="str">
            <v>Totex</v>
          </cell>
          <cell r="J27" t="str">
            <v>15-Ring fence-INV</v>
          </cell>
          <cell r="K27" t="str">
            <v>Distribution</v>
          </cell>
          <cell r="L27" t="str">
            <v>Disposal</v>
          </cell>
          <cell r="M27" t="str">
            <v>Disposal</v>
          </cell>
          <cell r="N27">
            <v>12</v>
          </cell>
          <cell r="O27" t="str">
            <v>site</v>
          </cell>
        </row>
        <row r="28">
          <cell r="A28" t="str">
            <v>Invercargill</v>
          </cell>
          <cell r="B28" t="str">
            <v>Invercargill</v>
          </cell>
          <cell r="C28" t="str">
            <v>South Island</v>
          </cell>
          <cell r="D28" t="str">
            <v>Minimal</v>
          </cell>
          <cell r="E28" t="str">
            <v>High</v>
          </cell>
          <cell r="G28" t="str">
            <v>16-Backflow-INV</v>
          </cell>
          <cell r="H28" t="str">
            <v>Investigation</v>
          </cell>
          <cell r="J28" t="str">
            <v>52-Asset info onsite-INV</v>
          </cell>
          <cell r="K28" t="str">
            <v>Distribution</v>
          </cell>
          <cell r="O28" t="str">
            <v>site</v>
          </cell>
        </row>
        <row r="29">
          <cell r="G29" t="str">
            <v>17-Backflow</v>
          </cell>
          <cell r="H29" t="str">
            <v>New capex</v>
          </cell>
          <cell r="J29" t="str">
            <v>16-Backflow-INV</v>
          </cell>
          <cell r="K29" t="str">
            <v>Distribution</v>
          </cell>
          <cell r="O29" t="str">
            <v>site</v>
          </cell>
        </row>
        <row r="30">
          <cell r="G30" t="str">
            <v>18-Resilience-INV</v>
          </cell>
          <cell r="H30" t="str">
            <v>Investigation</v>
          </cell>
          <cell r="J30" t="str">
            <v>52-Asset info onsite-INV</v>
          </cell>
          <cell r="K30" t="str">
            <v>All</v>
          </cell>
          <cell r="L30" t="str">
            <v>All</v>
          </cell>
          <cell r="M30" t="str">
            <v>All</v>
          </cell>
          <cell r="O30" t="str">
            <v>site</v>
          </cell>
        </row>
        <row r="31">
          <cell r="G31" t="str">
            <v>19-Condition below ground-1-INV</v>
          </cell>
          <cell r="H31" t="str">
            <v>Investigation</v>
          </cell>
          <cell r="I31" t="str">
            <v>Capex</v>
          </cell>
          <cell r="J31" t="str">
            <v>52-Asset info onsite-INV</v>
          </cell>
          <cell r="L31" t="str">
            <v>Conveyance</v>
          </cell>
          <cell r="M31" t="str">
            <v>Conveyance</v>
          </cell>
          <cell r="O31" t="str">
            <v>site</v>
          </cell>
        </row>
        <row r="32">
          <cell r="G32" t="str">
            <v>19-Condition below ground-2-INV</v>
          </cell>
          <cell r="H32" t="str">
            <v>Investigation</v>
          </cell>
          <cell r="I32" t="str">
            <v>Capex</v>
          </cell>
          <cell r="J32" t="str">
            <v>52-Asset info onsite-INV</v>
          </cell>
          <cell r="L32" t="str">
            <v>Conveyance</v>
          </cell>
          <cell r="O32" t="str">
            <v>site</v>
          </cell>
        </row>
        <row r="33">
          <cell r="G33" t="str">
            <v>20-WSPs</v>
          </cell>
          <cell r="H33" t="str">
            <v>Totex</v>
          </cell>
          <cell r="J33" t="str">
            <v>51-PW quality gap analysis-2-INV</v>
          </cell>
          <cell r="K33" t="str">
            <v>Supply</v>
          </cell>
          <cell r="O33" t="str">
            <v>site</v>
          </cell>
        </row>
        <row r="34">
          <cell r="G34" t="str">
            <v>21-Assess SW treatment-1-INV</v>
          </cell>
          <cell r="H34" t="str">
            <v>Investigation</v>
          </cell>
          <cell r="I34" t="str">
            <v>Capex</v>
          </cell>
          <cell r="J34" t="str">
            <v>52-Asset info onsite-INV</v>
          </cell>
          <cell r="M34" t="str">
            <v>Treatment</v>
          </cell>
          <cell r="O34" t="str">
            <v>site</v>
          </cell>
        </row>
        <row r="35">
          <cell r="G35" t="str">
            <v>21-Assess SW treatment-2-INV</v>
          </cell>
          <cell r="H35" t="str">
            <v>Investigation</v>
          </cell>
          <cell r="J35" t="str">
            <v>52-Asset info onsite-INV</v>
          </cell>
          <cell r="M35" t="str">
            <v>Treatment</v>
          </cell>
          <cell r="O35" t="str">
            <v>site</v>
          </cell>
        </row>
        <row r="36">
          <cell r="G36" t="str">
            <v>22-Failure analysis-INV</v>
          </cell>
          <cell r="H36" t="str">
            <v>Investigation</v>
          </cell>
          <cell r="J36" t="str">
            <v>41-Asset info desktop-INV</v>
          </cell>
          <cell r="K36" t="str">
            <v>All</v>
          </cell>
          <cell r="L36" t="str">
            <v>All</v>
          </cell>
          <cell r="M36" t="str">
            <v>All</v>
          </cell>
          <cell r="O36" t="str">
            <v>site</v>
          </cell>
        </row>
        <row r="37">
          <cell r="G37" t="str">
            <v>23-Assess WW treatment-INV</v>
          </cell>
          <cell r="H37" t="str">
            <v>Investigation</v>
          </cell>
          <cell r="J37" t="str">
            <v>54-System Capacity-INV</v>
          </cell>
          <cell r="L37" t="str">
            <v>Treatment</v>
          </cell>
          <cell r="O37" t="str">
            <v>site</v>
          </cell>
        </row>
        <row r="38">
          <cell r="G38" t="str">
            <v>24-Fire fighting-INV</v>
          </cell>
          <cell r="H38" t="str">
            <v>Investigation</v>
          </cell>
          <cell r="J38" t="str">
            <v>41-Asset info desktop-INV</v>
          </cell>
          <cell r="K38" t="str">
            <v>Fire fighting</v>
          </cell>
          <cell r="O38" t="str">
            <v>site</v>
          </cell>
        </row>
        <row r="39">
          <cell r="G39" t="str">
            <v>25-Fire fighting</v>
          </cell>
          <cell r="H39" t="str">
            <v>New capex</v>
          </cell>
          <cell r="J39" t="str">
            <v>24-Fire fighting-INV</v>
          </cell>
          <cell r="K39" t="str">
            <v>Fire fighting</v>
          </cell>
          <cell r="O39" t="str">
            <v>site</v>
          </cell>
        </row>
        <row r="40">
          <cell r="G40" t="str">
            <v>26-Climate change risks-INV</v>
          </cell>
          <cell r="H40" t="str">
            <v>Investigation</v>
          </cell>
          <cell r="J40" t="str">
            <v>52-Asset info onsite-INV</v>
          </cell>
          <cell r="K40" t="str">
            <v>All</v>
          </cell>
          <cell r="L40" t="str">
            <v>All</v>
          </cell>
          <cell r="M40" t="str">
            <v>All</v>
          </cell>
          <cell r="O40" t="str">
            <v>site</v>
          </cell>
        </row>
        <row r="41">
          <cell r="G41" t="str">
            <v>27-Operator training-INV</v>
          </cell>
          <cell r="H41" t="str">
            <v>Investigation</v>
          </cell>
          <cell r="J41" t="str">
            <v>41-Asset info desktop-INV</v>
          </cell>
          <cell r="K41" t="str">
            <v>All</v>
          </cell>
          <cell r="L41" t="str">
            <v>All</v>
          </cell>
          <cell r="M41" t="str">
            <v>All</v>
          </cell>
          <cell r="O41" t="str">
            <v>network</v>
          </cell>
        </row>
        <row r="42">
          <cell r="G42" t="str">
            <v>28-Review activities to reduce PW use-INV</v>
          </cell>
          <cell r="H42" t="str">
            <v>Investigation</v>
          </cell>
          <cell r="J42" t="str">
            <v>52-Asset info onsite-INV</v>
          </cell>
          <cell r="K42" t="str">
            <v>All</v>
          </cell>
          <cell r="L42" t="str">
            <v>All</v>
          </cell>
          <cell r="M42" t="str">
            <v>All</v>
          </cell>
          <cell r="O42" t="str">
            <v>site</v>
          </cell>
        </row>
        <row r="43">
          <cell r="G43" t="str">
            <v>29-Legal review of agreements-INV</v>
          </cell>
          <cell r="H43" t="str">
            <v>Investigation</v>
          </cell>
          <cell r="J43" t="str">
            <v>32-Eng review of agreements-INV</v>
          </cell>
          <cell r="K43" t="str">
            <v>All</v>
          </cell>
          <cell r="L43" t="str">
            <v>All</v>
          </cell>
          <cell r="M43" t="str">
            <v>All</v>
          </cell>
          <cell r="O43" t="str">
            <v>network</v>
          </cell>
        </row>
        <row r="44">
          <cell r="G44" t="str">
            <v>30-AM/FM and PPP contracts</v>
          </cell>
          <cell r="H44" t="str">
            <v>Institutional</v>
          </cell>
          <cell r="J44" t="str">
            <v>30-AM/FM and PPP contracts-INV</v>
          </cell>
          <cell r="K44" t="str">
            <v>All</v>
          </cell>
          <cell r="L44" t="str">
            <v>All</v>
          </cell>
          <cell r="M44" t="str">
            <v>All</v>
          </cell>
          <cell r="O44" t="str">
            <v>site</v>
          </cell>
        </row>
        <row r="45">
          <cell r="G45" t="str">
            <v>31-Develop levels of service</v>
          </cell>
          <cell r="H45" t="str">
            <v>Institutional</v>
          </cell>
          <cell r="J45" t="str">
            <v>None</v>
          </cell>
          <cell r="K45" t="str">
            <v>All</v>
          </cell>
          <cell r="L45" t="str">
            <v>All</v>
          </cell>
          <cell r="M45" t="str">
            <v>All</v>
          </cell>
          <cell r="N45">
            <v>12</v>
          </cell>
          <cell r="O45" t="str">
            <v>network</v>
          </cell>
        </row>
        <row r="46">
          <cell r="G46" t="str">
            <v>32-Eng review of agreements-INV</v>
          </cell>
          <cell r="H46" t="str">
            <v>Investigation</v>
          </cell>
          <cell r="J46" t="str">
            <v>52-Asset info onsite-INV</v>
          </cell>
          <cell r="K46" t="str">
            <v>All</v>
          </cell>
          <cell r="L46" t="str">
            <v>All</v>
          </cell>
          <cell r="M46" t="str">
            <v>All</v>
          </cell>
          <cell r="O46" t="str">
            <v>site</v>
          </cell>
        </row>
        <row r="47">
          <cell r="G47" t="str">
            <v>33-Review 3 Waters Mgt Model-INV</v>
          </cell>
          <cell r="H47" t="str">
            <v>Investigation</v>
          </cell>
          <cell r="J47" t="str">
            <v>29-Legal review of agreements-INV</v>
          </cell>
          <cell r="K47" t="str">
            <v>All</v>
          </cell>
          <cell r="L47" t="str">
            <v>All</v>
          </cell>
          <cell r="M47" t="str">
            <v>All</v>
          </cell>
          <cell r="O47" t="str">
            <v>site</v>
          </cell>
        </row>
        <row r="48">
          <cell r="G48" t="str">
            <v>34-Private connections and SW flow</v>
          </cell>
          <cell r="H48" t="str">
            <v>Institutional</v>
          </cell>
          <cell r="J48" t="str">
            <v>52-Asset info onsite-INV</v>
          </cell>
          <cell r="K48" t="str">
            <v>Distribution</v>
          </cell>
          <cell r="L48" t="str">
            <v>All</v>
          </cell>
          <cell r="M48" t="str">
            <v>Conveyance</v>
          </cell>
          <cell r="O48" t="str">
            <v>site</v>
          </cell>
        </row>
        <row r="49">
          <cell r="G49" t="str">
            <v>35-Update EPMO templates for 3 waters</v>
          </cell>
          <cell r="H49" t="str">
            <v>Institutional</v>
          </cell>
          <cell r="J49" t="str">
            <v>None</v>
          </cell>
          <cell r="K49" t="str">
            <v>All</v>
          </cell>
          <cell r="L49" t="str">
            <v>All</v>
          </cell>
          <cell r="M49" t="str">
            <v>All</v>
          </cell>
          <cell r="N49" t="str">
            <v>1 to 3</v>
          </cell>
          <cell r="O49" t="str">
            <v>network</v>
          </cell>
        </row>
        <row r="50">
          <cell r="G50" t="str">
            <v>36-Design standards</v>
          </cell>
          <cell r="H50" t="str">
            <v>Institutional</v>
          </cell>
          <cell r="J50" t="str">
            <v>31-LoS</v>
          </cell>
          <cell r="K50" t="str">
            <v>All</v>
          </cell>
          <cell r="L50" t="str">
            <v>All</v>
          </cell>
          <cell r="M50" t="str">
            <v>All</v>
          </cell>
          <cell r="O50" t="str">
            <v>network</v>
          </cell>
        </row>
        <row r="51">
          <cell r="G51" t="str">
            <v>37-Contractor procedures</v>
          </cell>
          <cell r="H51" t="str">
            <v>Institutional</v>
          </cell>
          <cell r="J51" t="str">
            <v>None</v>
          </cell>
          <cell r="K51" t="str">
            <v>All</v>
          </cell>
          <cell r="L51" t="str">
            <v>All</v>
          </cell>
          <cell r="M51" t="str">
            <v>All</v>
          </cell>
          <cell r="O51" t="str">
            <v>network</v>
          </cell>
        </row>
        <row r="52">
          <cell r="G52" t="str">
            <v>38-AMPs</v>
          </cell>
          <cell r="H52" t="str">
            <v>Institutional</v>
          </cell>
          <cell r="J52" t="str">
            <v>55-Renewal plan-INV</v>
          </cell>
          <cell r="K52" t="str">
            <v>All</v>
          </cell>
          <cell r="L52" t="str">
            <v>All</v>
          </cell>
          <cell r="M52" t="str">
            <v>All</v>
          </cell>
          <cell r="O52" t="str">
            <v>site</v>
          </cell>
        </row>
        <row r="53">
          <cell r="G53" t="str">
            <v>39-Spares management</v>
          </cell>
          <cell r="H53" t="str">
            <v>Totex</v>
          </cell>
          <cell r="J53" t="str">
            <v>31-LoS</v>
          </cell>
          <cell r="K53" t="str">
            <v>All</v>
          </cell>
          <cell r="L53" t="str">
            <v>All</v>
          </cell>
          <cell r="M53" t="str">
            <v>All</v>
          </cell>
          <cell r="O53" t="str">
            <v>site</v>
          </cell>
        </row>
        <row r="54">
          <cell r="G54" t="str">
            <v>40-Water balances-INV</v>
          </cell>
          <cell r="H54" t="str">
            <v>Investigation</v>
          </cell>
          <cell r="J54" t="str">
            <v>41-Asset info desktop-INV</v>
          </cell>
          <cell r="K54" t="str">
            <v>Supply</v>
          </cell>
          <cell r="O54" t="str">
            <v>site</v>
          </cell>
        </row>
        <row r="55">
          <cell r="G55" t="str">
            <v>41-Asset info desktop-INV</v>
          </cell>
          <cell r="H55" t="str">
            <v>Investigation</v>
          </cell>
          <cell r="I55" t="str">
            <v>Year 0</v>
          </cell>
          <cell r="J55" t="str">
            <v>53-Review IMS-INV</v>
          </cell>
          <cell r="K55" t="str">
            <v>All</v>
          </cell>
          <cell r="L55" t="str">
            <v>All</v>
          </cell>
          <cell r="M55" t="str">
            <v>All</v>
          </cell>
          <cell r="O55" t="str">
            <v>site</v>
          </cell>
        </row>
        <row r="56">
          <cell r="G56" t="str">
            <v>42-IMS</v>
          </cell>
          <cell r="H56" t="str">
            <v>Institutional</v>
          </cell>
          <cell r="J56" t="str">
            <v>53-Review IMS-INV</v>
          </cell>
          <cell r="K56" t="str">
            <v>All</v>
          </cell>
          <cell r="L56" t="str">
            <v>All</v>
          </cell>
          <cell r="M56" t="str">
            <v>All</v>
          </cell>
          <cell r="O56" t="str">
            <v>network</v>
          </cell>
        </row>
        <row r="57">
          <cell r="G57" t="str">
            <v>43-Install water efficient devices</v>
          </cell>
          <cell r="H57" t="str">
            <v>Totex</v>
          </cell>
          <cell r="J57" t="str">
            <v>44-Conservation SOPs</v>
          </cell>
          <cell r="K57" t="str">
            <v>Supply</v>
          </cell>
          <cell r="N57" t="str">
            <v>ongoing</v>
          </cell>
          <cell r="O57" t="str">
            <v>site</v>
          </cell>
        </row>
        <row r="58">
          <cell r="G58" t="str">
            <v>44-Conservation SOPs</v>
          </cell>
          <cell r="H58" t="str">
            <v>Institutional</v>
          </cell>
          <cell r="J58" t="str">
            <v>31-LoS</v>
          </cell>
          <cell r="K58" t="str">
            <v>Supply</v>
          </cell>
          <cell r="N58">
            <v>6</v>
          </cell>
          <cell r="O58" t="str">
            <v>network</v>
          </cell>
        </row>
        <row r="59">
          <cell r="G59" t="str">
            <v>45-Education</v>
          </cell>
          <cell r="H59" t="str">
            <v>Institutional</v>
          </cell>
          <cell r="J59" t="str">
            <v>None</v>
          </cell>
          <cell r="K59" t="str">
            <v>Supply</v>
          </cell>
          <cell r="O59" t="str">
            <v>site</v>
          </cell>
        </row>
        <row r="60">
          <cell r="G60" t="str">
            <v>46-Review options to offset potable-INV</v>
          </cell>
          <cell r="H60" t="str">
            <v>Investigation</v>
          </cell>
          <cell r="J60" t="str">
            <v>40-Water balances-INV</v>
          </cell>
          <cell r="K60" t="str">
            <v>Supply</v>
          </cell>
          <cell r="O60" t="str">
            <v>site</v>
          </cell>
        </row>
        <row r="61">
          <cell r="G61" t="str">
            <v>47-Alternative water sources</v>
          </cell>
          <cell r="H61" t="str">
            <v>New capex</v>
          </cell>
          <cell r="J61" t="str">
            <v>54-System Capacity-INV</v>
          </cell>
          <cell r="K61" t="str">
            <v>Supply</v>
          </cell>
          <cell r="L61" t="str">
            <v>Disposal</v>
          </cell>
          <cell r="M61" t="str">
            <v>Disposal</v>
          </cell>
          <cell r="O61" t="str">
            <v>site</v>
          </cell>
        </row>
        <row r="62">
          <cell r="G62" t="str">
            <v>48-Relocate/ downsize population</v>
          </cell>
          <cell r="H62" t="str">
            <v>New capex</v>
          </cell>
          <cell r="J62" t="str">
            <v>None</v>
          </cell>
          <cell r="O62" t="str">
            <v>site</v>
          </cell>
        </row>
        <row r="63">
          <cell r="G63" t="str">
            <v>49-Review bores-1-INV</v>
          </cell>
          <cell r="H63" t="str">
            <v>Investigation</v>
          </cell>
          <cell r="J63" t="str">
            <v>41-Asset info desktop-INV</v>
          </cell>
          <cell r="K63" t="str">
            <v>Supply</v>
          </cell>
          <cell r="O63" t="str">
            <v>site</v>
          </cell>
        </row>
        <row r="64">
          <cell r="G64" t="str">
            <v>49-Review bores-2-INV</v>
          </cell>
          <cell r="H64" t="str">
            <v>Investigation</v>
          </cell>
          <cell r="J64" t="str">
            <v>41-Asset info desktop-INV</v>
          </cell>
          <cell r="K64" t="str">
            <v>Supply</v>
          </cell>
          <cell r="O64" t="str">
            <v>site</v>
          </cell>
        </row>
        <row r="65">
          <cell r="G65" t="str">
            <v>49-Review bores-3-INV</v>
          </cell>
          <cell r="H65" t="str">
            <v>Investigation</v>
          </cell>
          <cell r="J65" t="str">
            <v>49-Review bores-1-INV</v>
          </cell>
          <cell r="K65" t="str">
            <v>Supply</v>
          </cell>
          <cell r="O65" t="str">
            <v>site</v>
          </cell>
        </row>
        <row r="66">
          <cell r="G66" t="str">
            <v>49-Review bores-4-INV</v>
          </cell>
          <cell r="H66" t="str">
            <v>Investigation</v>
          </cell>
          <cell r="J66" t="str">
            <v>49-Review bores-1-INV</v>
          </cell>
          <cell r="K66" t="str">
            <v>Supply</v>
          </cell>
          <cell r="O66" t="str">
            <v>site</v>
          </cell>
        </row>
        <row r="67">
          <cell r="G67" t="str">
            <v>49-Review bores-5-INV</v>
          </cell>
          <cell r="H67" t="str">
            <v>Investigation</v>
          </cell>
          <cell r="J67" t="str">
            <v>49-Review bores-4-INV</v>
          </cell>
          <cell r="K67" t="str">
            <v>Supply</v>
          </cell>
          <cell r="O67" t="str">
            <v>site</v>
          </cell>
        </row>
        <row r="68">
          <cell r="G68" t="str">
            <v>49-Review bores-6-INV</v>
          </cell>
          <cell r="H68" t="str">
            <v>Investigation</v>
          </cell>
          <cell r="J68" t="str">
            <v>49-Review bores-4-INV</v>
          </cell>
          <cell r="K68" t="str">
            <v>Supply</v>
          </cell>
          <cell r="O68" t="str">
            <v>site</v>
          </cell>
        </row>
        <row r="69">
          <cell r="G69" t="str">
            <v>50-Leak detection</v>
          </cell>
          <cell r="H69" t="str">
            <v>Investigation</v>
          </cell>
          <cell r="J69" t="str">
            <v>52-Asset info onsite-INV</v>
          </cell>
          <cell r="K69" t="str">
            <v>Supply</v>
          </cell>
          <cell r="O69" t="str">
            <v>site</v>
          </cell>
        </row>
        <row r="70">
          <cell r="G70" t="str">
            <v>51-PW quality gap analysis-1-INV</v>
          </cell>
          <cell r="H70" t="str">
            <v>Investigation</v>
          </cell>
          <cell r="J70" t="str">
            <v>49-Review bores-3-INV</v>
          </cell>
          <cell r="K70" t="str">
            <v>Supply</v>
          </cell>
          <cell r="O70" t="str">
            <v>site</v>
          </cell>
        </row>
        <row r="71">
          <cell r="G71" t="str">
            <v>51-PW quality gap analysis-2-INV</v>
          </cell>
          <cell r="H71" t="str">
            <v>Investigation</v>
          </cell>
          <cell r="J71" t="str">
            <v>51-PW quality gap analysis-1-INV</v>
          </cell>
          <cell r="K71" t="str">
            <v>Supply</v>
          </cell>
          <cell r="O71" t="str">
            <v>site</v>
          </cell>
        </row>
        <row r="72">
          <cell r="G72" t="str">
            <v>51-PW quality gap analysis-3-INV</v>
          </cell>
          <cell r="H72" t="str">
            <v>Investigation</v>
          </cell>
          <cell r="J72" t="str">
            <v>32-Eng review of agreements-INV</v>
          </cell>
          <cell r="K72" t="str">
            <v>Supply</v>
          </cell>
          <cell r="O72" t="str">
            <v>site</v>
          </cell>
        </row>
        <row r="73">
          <cell r="G73" t="str">
            <v>52-Asset info onsite-INV</v>
          </cell>
          <cell r="H73" t="str">
            <v>Investigation</v>
          </cell>
          <cell r="I73" t="str">
            <v>Year 0</v>
          </cell>
          <cell r="J73" t="str">
            <v>41-Asset info desktop-INV</v>
          </cell>
          <cell r="K73" t="str">
            <v>All</v>
          </cell>
          <cell r="L73" t="str">
            <v>All</v>
          </cell>
          <cell r="M73" t="str">
            <v>All</v>
          </cell>
          <cell r="O73" t="str">
            <v>site</v>
          </cell>
        </row>
        <row r="74">
          <cell r="G74" t="str">
            <v>53-Review IMS-INV</v>
          </cell>
          <cell r="H74" t="str">
            <v>Investigation</v>
          </cell>
          <cell r="J74" t="str">
            <v>41-Asset info desktop-INV</v>
          </cell>
          <cell r="K74" t="str">
            <v>All</v>
          </cell>
          <cell r="L74" t="str">
            <v>All</v>
          </cell>
          <cell r="M74" t="str">
            <v>All</v>
          </cell>
          <cell r="N74" t="str">
            <v>6 to 12</v>
          </cell>
          <cell r="O74" t="str">
            <v>network</v>
          </cell>
        </row>
        <row r="75">
          <cell r="G75" t="str">
            <v>54-System Capacity-INV</v>
          </cell>
          <cell r="H75" t="str">
            <v>Investigation</v>
          </cell>
          <cell r="I75" t="str">
            <v>Year 0</v>
          </cell>
          <cell r="J75" t="str">
            <v>31-LoS</v>
          </cell>
          <cell r="K75" t="str">
            <v>All</v>
          </cell>
          <cell r="L75" t="str">
            <v>All</v>
          </cell>
          <cell r="M75" t="str">
            <v>All</v>
          </cell>
          <cell r="O75" t="str">
            <v>site</v>
          </cell>
        </row>
        <row r="76">
          <cell r="G76" t="str">
            <v>55-Renewal plan-INV</v>
          </cell>
          <cell r="H76" t="str">
            <v>Investigation</v>
          </cell>
          <cell r="J76" t="str">
            <v>56-Condition above ground-1-INV</v>
          </cell>
          <cell r="K76" t="str">
            <v>Distribution</v>
          </cell>
          <cell r="L76" t="str">
            <v>Conveyance</v>
          </cell>
          <cell r="M76" t="str">
            <v>Conveyance</v>
          </cell>
          <cell r="O76" t="str">
            <v>site</v>
          </cell>
        </row>
        <row r="77">
          <cell r="G77" t="str">
            <v>56-Condition above ground-1-INV</v>
          </cell>
          <cell r="H77" t="str">
            <v>Investigation</v>
          </cell>
          <cell r="J77" t="str">
            <v>52-Asset info onsite-INV</v>
          </cell>
          <cell r="K77" t="str">
            <v>Distribution</v>
          </cell>
          <cell r="L77" t="str">
            <v>Conveyance</v>
          </cell>
          <cell r="M77" t="str">
            <v>Conveyance</v>
          </cell>
          <cell r="O77" t="str">
            <v>site</v>
          </cell>
        </row>
        <row r="78">
          <cell r="G78" t="str">
            <v>56-Condition above ground-2-INV</v>
          </cell>
          <cell r="H78" t="str">
            <v>Investigation</v>
          </cell>
          <cell r="J78" t="str">
            <v>52-Asset info onsite-INV</v>
          </cell>
          <cell r="K78" t="str">
            <v>Storage</v>
          </cell>
          <cell r="L78" t="str">
            <v>Treatment</v>
          </cell>
          <cell r="O78" t="str">
            <v>site</v>
          </cell>
        </row>
        <row r="79">
          <cell r="G79" t="str">
            <v>57-Flooding-INV</v>
          </cell>
          <cell r="H79" t="str">
            <v>Investigation</v>
          </cell>
          <cell r="J79" t="str">
            <v>54-System Capacity-INV</v>
          </cell>
          <cell r="M79" t="str">
            <v>Disposal</v>
          </cell>
          <cell r="O79" t="str">
            <v>site</v>
          </cell>
        </row>
        <row r="80">
          <cell r="G80" t="str">
            <v>58-Pumps and pump stations</v>
          </cell>
          <cell r="H80" t="str">
            <v>Totex</v>
          </cell>
          <cell r="J80" t="str">
            <v>55-Renewal plan-INV</v>
          </cell>
          <cell r="K80" t="str">
            <v>Distribution</v>
          </cell>
          <cell r="L80" t="str">
            <v>Conveyance</v>
          </cell>
          <cell r="M80" t="str">
            <v>Conveyance</v>
          </cell>
          <cell r="O80" t="str">
            <v>site</v>
          </cell>
        </row>
      </sheetData>
      <sheetData sheetId="11">
        <row r="2">
          <cell r="B2" t="str">
            <v xml:space="preserve">Category short name </v>
          </cell>
          <cell r="C2" t="str">
            <v>Category Long Name</v>
          </cell>
          <cell r="D2" t="str">
            <v>Contingency</v>
          </cell>
          <cell r="E2" t="str">
            <v xml:space="preserve">Programme Contingency </v>
          </cell>
        </row>
        <row r="3">
          <cell r="B3" t="str">
            <v>Investigation</v>
          </cell>
          <cell r="C3" t="str">
            <v>Investigations</v>
          </cell>
          <cell r="D3">
            <v>0.1</v>
          </cell>
          <cell r="E3">
            <v>0.4</v>
          </cell>
        </row>
        <row r="4">
          <cell r="B4" t="str">
            <v>Institutional</v>
          </cell>
          <cell r="C4" t="str">
            <v>Institutional Changes – O&amp;M procedures / Demand Management / Information Management</v>
          </cell>
          <cell r="D4">
            <v>0.1</v>
          </cell>
          <cell r="E4">
            <v>0.4</v>
          </cell>
        </row>
        <row r="5">
          <cell r="B5" t="str">
            <v>Totex</v>
          </cell>
          <cell r="C5" t="str">
            <v>Totex Solutions – Optimisation of Existing Assets</v>
          </cell>
          <cell r="D5">
            <v>0.2</v>
          </cell>
          <cell r="E5">
            <v>0.4</v>
          </cell>
        </row>
        <row r="6">
          <cell r="B6" t="str">
            <v>Renewal capex</v>
          </cell>
          <cell r="C6" t="str">
            <v>Capex Solutions – Renewal of existing infrastructure</v>
          </cell>
          <cell r="D6">
            <v>0.2</v>
          </cell>
          <cell r="E6">
            <v>0.4</v>
          </cell>
        </row>
        <row r="7">
          <cell r="B7" t="str">
            <v>New capex</v>
          </cell>
          <cell r="C7" t="str">
            <v>Capex Solutions – New infrastructure</v>
          </cell>
          <cell r="D7">
            <v>0.2</v>
          </cell>
          <cell r="E7">
            <v>0.4</v>
          </cell>
        </row>
        <row r="11">
          <cell r="A11" t="str">
            <v>Intervention</v>
          </cell>
          <cell r="B11" t="str">
            <v>Category</v>
          </cell>
          <cell r="C11" t="str">
            <v>Preceding critical path interventions</v>
          </cell>
          <cell r="D11" t="str">
            <v>Three Waters Base Unit costs</v>
          </cell>
          <cell r="E11" t="str">
            <v xml:space="preserve">Potable Water Unit cost </v>
          </cell>
          <cell r="F11" t="str">
            <v>Wastewater Base unit cost</v>
          </cell>
          <cell r="G11" t="str">
            <v>Stormwater Base Unit cost</v>
          </cell>
          <cell r="H11" t="str">
            <v>Units</v>
          </cell>
          <cell r="I11" t="str">
            <v>Number of months to roll out intervention (per unit)</v>
          </cell>
        </row>
        <row r="12">
          <cell r="A12" t="str">
            <v>1-Asset renewal</v>
          </cell>
          <cell r="B12" t="str">
            <v>Renewal capex</v>
          </cell>
          <cell r="C12" t="str">
            <v>55-Renewal plan-INV</v>
          </cell>
          <cell r="E12">
            <v>2940000</v>
          </cell>
          <cell r="F12">
            <v>3150000</v>
          </cell>
          <cell r="G12">
            <v>3040000</v>
          </cell>
          <cell r="H12" t="str">
            <v>site</v>
          </cell>
        </row>
        <row r="13">
          <cell r="A13" t="str">
            <v>2-Reline gravity pipes</v>
          </cell>
          <cell r="B13" t="str">
            <v>Renewal capex</v>
          </cell>
          <cell r="C13" t="str">
            <v>55-Renewal plan-INV</v>
          </cell>
          <cell r="F13" t="str">
            <v>N/A</v>
          </cell>
          <cell r="G13" t="str">
            <v>N/A</v>
          </cell>
          <cell r="H13" t="str">
            <v>site</v>
          </cell>
        </row>
        <row r="14">
          <cell r="A14" t="str">
            <v>3-PW Bores</v>
          </cell>
          <cell r="B14" t="str">
            <v>New capex</v>
          </cell>
          <cell r="C14" t="str">
            <v>55-Renewal plan-INV</v>
          </cell>
          <cell r="E14">
            <v>33000</v>
          </cell>
          <cell r="H14" t="str">
            <v>site</v>
          </cell>
        </row>
        <row r="15">
          <cell r="A15" t="str">
            <v>4-Desilt SW ponds</v>
          </cell>
          <cell r="B15" t="str">
            <v>Renewal capex</v>
          </cell>
          <cell r="C15" t="str">
            <v>55-Renewal plan-INV</v>
          </cell>
          <cell r="G15">
            <v>47000</v>
          </cell>
          <cell r="H15" t="str">
            <v>site</v>
          </cell>
        </row>
        <row r="16">
          <cell r="A16" t="str">
            <v>5-Ring mains</v>
          </cell>
          <cell r="B16" t="str">
            <v>New capex</v>
          </cell>
          <cell r="C16" t="str">
            <v>18-Resilience-INV</v>
          </cell>
          <cell r="E16">
            <v>105000</v>
          </cell>
          <cell r="H16" t="str">
            <v>site</v>
          </cell>
        </row>
        <row r="17">
          <cell r="A17" t="str">
            <v>6-Storage</v>
          </cell>
          <cell r="B17" t="str">
            <v>New capex</v>
          </cell>
          <cell r="C17" t="str">
            <v>54-System Capacity-INV</v>
          </cell>
          <cell r="E17">
            <v>1000</v>
          </cell>
          <cell r="F17">
            <v>2400</v>
          </cell>
          <cell r="G17">
            <v>39</v>
          </cell>
          <cell r="H17" t="str">
            <v>m³</v>
          </cell>
        </row>
        <row r="18">
          <cell r="A18" t="str">
            <v>7-Emergency bores</v>
          </cell>
          <cell r="B18" t="str">
            <v>New capex</v>
          </cell>
          <cell r="C18" t="str">
            <v>18-Resilience-INV</v>
          </cell>
          <cell r="E18">
            <v>206000</v>
          </cell>
          <cell r="H18" t="str">
            <v>site</v>
          </cell>
        </row>
        <row r="19">
          <cell r="A19" t="str">
            <v>8-Treatment upgrades</v>
          </cell>
          <cell r="B19" t="str">
            <v>New capex</v>
          </cell>
          <cell r="C19" t="str">
            <v>54-System Capacity-INV</v>
          </cell>
          <cell r="E19">
            <v>750000</v>
          </cell>
          <cell r="F19">
            <v>560000</v>
          </cell>
          <cell r="G19">
            <v>150000</v>
          </cell>
          <cell r="H19" t="str">
            <v>site</v>
          </cell>
        </row>
        <row r="20">
          <cell r="A20" t="str">
            <v>9-Sub-metering PW and WW</v>
          </cell>
          <cell r="B20" t="str">
            <v>New capex</v>
          </cell>
          <cell r="C20" t="str">
            <v>52-Asset info onsite-INV</v>
          </cell>
          <cell r="E20">
            <v>25000</v>
          </cell>
          <cell r="F20">
            <v>55000</v>
          </cell>
          <cell r="H20" t="str">
            <v>site</v>
          </cell>
        </row>
        <row r="21">
          <cell r="A21" t="str">
            <v>10-SCADA</v>
          </cell>
          <cell r="B21" t="str">
            <v>New capex</v>
          </cell>
          <cell r="C21" t="str">
            <v>52-Asset info onsite-INV</v>
          </cell>
          <cell r="D21">
            <v>56000</v>
          </cell>
          <cell r="H21" t="str">
            <v>site</v>
          </cell>
        </row>
        <row r="22">
          <cell r="A22" t="str">
            <v>11a-Inflow Infiltration-INV</v>
          </cell>
          <cell r="B22" t="str">
            <v>Investigation</v>
          </cell>
          <cell r="C22" t="str">
            <v>19-Condition below ground-1-INV</v>
          </cell>
          <cell r="F22">
            <v>6000</v>
          </cell>
          <cell r="H22" t="str">
            <v>site</v>
          </cell>
        </row>
        <row r="23">
          <cell r="A23" t="str">
            <v>11b-Inflow Infiltration</v>
          </cell>
          <cell r="B23" t="str">
            <v>Totex</v>
          </cell>
          <cell r="C23" t="str">
            <v>11-Inflow Infiltration-INV</v>
          </cell>
          <cell r="F23">
            <v>59000</v>
          </cell>
          <cell r="H23" t="str">
            <v>site</v>
          </cell>
        </row>
        <row r="24">
          <cell r="A24" t="str">
            <v>12-Manawatu pipeline</v>
          </cell>
          <cell r="B24" t="str">
            <v>New capex</v>
          </cell>
          <cell r="C24" t="str">
            <v>None</v>
          </cell>
          <cell r="E24">
            <v>1828000</v>
          </cell>
          <cell r="H24" t="str">
            <v>site</v>
          </cell>
        </row>
        <row r="25">
          <cell r="A25" t="str">
            <v>13-Contingency plans</v>
          </cell>
          <cell r="B25" t="str">
            <v>Institutional</v>
          </cell>
          <cell r="C25" t="str">
            <v>18-Resilience-INV</v>
          </cell>
          <cell r="D25">
            <v>4000</v>
          </cell>
          <cell r="H25" t="str">
            <v>site</v>
          </cell>
          <cell r="I25" t="str">
            <v>2 to 4</v>
          </cell>
        </row>
        <row r="26">
          <cell r="A26" t="str">
            <v>14-Security-INV</v>
          </cell>
          <cell r="B26" t="str">
            <v>Investigation</v>
          </cell>
          <cell r="C26" t="str">
            <v>52-Asset info onsite-INV</v>
          </cell>
          <cell r="D26">
            <v>2000</v>
          </cell>
          <cell r="H26" t="str">
            <v>site</v>
          </cell>
        </row>
        <row r="27">
          <cell r="A27" t="str">
            <v>14-Security</v>
          </cell>
          <cell r="B27" t="str">
            <v>Totex</v>
          </cell>
          <cell r="C27" t="str">
            <v>14-Security-INV</v>
          </cell>
          <cell r="D27">
            <v>23000</v>
          </cell>
          <cell r="H27" t="str">
            <v>site</v>
          </cell>
        </row>
        <row r="28">
          <cell r="A28" t="str">
            <v>15-Ring fence</v>
          </cell>
          <cell r="B28" t="str">
            <v>Totex</v>
          </cell>
          <cell r="C28" t="str">
            <v>52-Asset info onsite-INV</v>
          </cell>
          <cell r="E28">
            <v>32000</v>
          </cell>
          <cell r="H28" t="str">
            <v>site</v>
          </cell>
        </row>
        <row r="29">
          <cell r="A29" t="str">
            <v>16-Backflow-INV</v>
          </cell>
          <cell r="B29" t="str">
            <v>Investigation</v>
          </cell>
          <cell r="C29" t="str">
            <v>52-Asset info onsite-INV</v>
          </cell>
          <cell r="E29">
            <v>5000</v>
          </cell>
          <cell r="H29" t="str">
            <v>site</v>
          </cell>
        </row>
        <row r="30">
          <cell r="A30" t="str">
            <v>17-Backflow</v>
          </cell>
          <cell r="B30" t="str">
            <v>New capex</v>
          </cell>
          <cell r="C30" t="str">
            <v>16-Backflow-INV</v>
          </cell>
          <cell r="E30">
            <v>23000</v>
          </cell>
          <cell r="H30" t="str">
            <v>site</v>
          </cell>
        </row>
        <row r="31">
          <cell r="A31" t="str">
            <v>18-Resilience-INV</v>
          </cell>
          <cell r="B31" t="str">
            <v>Investigation</v>
          </cell>
          <cell r="C31" t="str">
            <v>52-Asset info onsite-INV</v>
          </cell>
          <cell r="D31">
            <v>6000</v>
          </cell>
          <cell r="H31" t="str">
            <v>site</v>
          </cell>
        </row>
        <row r="32">
          <cell r="A32" t="str">
            <v>19-Condition below ground-1-INV</v>
          </cell>
          <cell r="B32" t="str">
            <v>Investigation</v>
          </cell>
          <cell r="C32" t="str">
            <v>52-Asset info onsite-INV</v>
          </cell>
          <cell r="F32">
            <v>24000</v>
          </cell>
          <cell r="G32">
            <v>18000</v>
          </cell>
          <cell r="H32" t="str">
            <v>site</v>
          </cell>
        </row>
        <row r="33">
          <cell r="A33" t="str">
            <v>19-Condition below ground-2-INV</v>
          </cell>
          <cell r="B33" t="str">
            <v>Investigation</v>
          </cell>
          <cell r="C33" t="str">
            <v>52-Asset info onsite-INV</v>
          </cell>
          <cell r="F33">
            <v>34000</v>
          </cell>
          <cell r="H33" t="str">
            <v>site</v>
          </cell>
        </row>
        <row r="34">
          <cell r="A34" t="str">
            <v>20-WSPs</v>
          </cell>
          <cell r="B34" t="str">
            <v>Totex</v>
          </cell>
          <cell r="C34" t="str">
            <v>51-PW quality gap analysis-2-INV</v>
          </cell>
          <cell r="E34">
            <v>70000</v>
          </cell>
          <cell r="H34" t="str">
            <v>site</v>
          </cell>
          <cell r="I34" t="str">
            <v/>
          </cell>
        </row>
        <row r="35">
          <cell r="A35" t="str">
            <v>21-Assess SW treatment-1-INV</v>
          </cell>
          <cell r="B35" t="str">
            <v>Investigation</v>
          </cell>
          <cell r="C35" t="str">
            <v>52-Asset info onsite-INV</v>
          </cell>
          <cell r="G35">
            <v>8000</v>
          </cell>
          <cell r="H35" t="str">
            <v>site</v>
          </cell>
        </row>
        <row r="36">
          <cell r="A36" t="str">
            <v>21-Assess SW treatment-2-INV</v>
          </cell>
          <cell r="B36" t="str">
            <v>Investigation</v>
          </cell>
          <cell r="C36" t="str">
            <v>52-Asset info onsite-INV</v>
          </cell>
          <cell r="G36">
            <v>16000</v>
          </cell>
          <cell r="H36" t="str">
            <v>site</v>
          </cell>
        </row>
        <row r="37">
          <cell r="A37" t="str">
            <v>22-Failure analysis-INV</v>
          </cell>
          <cell r="B37" t="str">
            <v>Investigation</v>
          </cell>
          <cell r="C37" t="str">
            <v>41-Asset info desktop-INV</v>
          </cell>
          <cell r="D37">
            <v>12000</v>
          </cell>
          <cell r="H37" t="str">
            <v>site</v>
          </cell>
        </row>
        <row r="38">
          <cell r="A38" t="str">
            <v>23-Assess WW treatment-INV</v>
          </cell>
          <cell r="B38" t="str">
            <v>Investigation</v>
          </cell>
          <cell r="C38" t="str">
            <v>54-System Capacity-INV</v>
          </cell>
          <cell r="F38">
            <v>35000</v>
          </cell>
          <cell r="H38" t="str">
            <v>site</v>
          </cell>
        </row>
        <row r="39">
          <cell r="A39" t="str">
            <v>24-Fire fighting-INV</v>
          </cell>
          <cell r="B39" t="str">
            <v>Investigation</v>
          </cell>
          <cell r="C39" t="str">
            <v>41-Asset info desktop-INV</v>
          </cell>
          <cell r="E39">
            <v>3000</v>
          </cell>
          <cell r="H39" t="str">
            <v>site</v>
          </cell>
        </row>
        <row r="40">
          <cell r="A40" t="str">
            <v>25-Fire fighting</v>
          </cell>
          <cell r="B40" t="str">
            <v>New capex</v>
          </cell>
          <cell r="C40" t="str">
            <v>24-Fire fighting-INV</v>
          </cell>
          <cell r="E40">
            <v>20000</v>
          </cell>
          <cell r="H40" t="str">
            <v>site</v>
          </cell>
        </row>
        <row r="41">
          <cell r="A41" t="str">
            <v>26-Climate change risks-INV</v>
          </cell>
          <cell r="B41" t="str">
            <v>Investigation</v>
          </cell>
          <cell r="C41" t="str">
            <v>52-Asset info onsite-INV</v>
          </cell>
          <cell r="D41">
            <v>6000</v>
          </cell>
          <cell r="H41" t="str">
            <v>site</v>
          </cell>
        </row>
        <row r="42">
          <cell r="A42" t="str">
            <v>27-Operator training-INV</v>
          </cell>
          <cell r="B42" t="str">
            <v>Investigation</v>
          </cell>
          <cell r="C42" t="str">
            <v>41-Asset info desktop-INV</v>
          </cell>
          <cell r="D42">
            <v>30000</v>
          </cell>
          <cell r="H42" t="str">
            <v>network</v>
          </cell>
        </row>
        <row r="43">
          <cell r="A43" t="str">
            <v>28-Review activities to reduce PW use-INV</v>
          </cell>
          <cell r="B43" t="str">
            <v>Investigation</v>
          </cell>
          <cell r="C43" t="str">
            <v>52-Asset info onsite-INV</v>
          </cell>
          <cell r="D43">
            <v>7000</v>
          </cell>
          <cell r="H43" t="str">
            <v>site</v>
          </cell>
        </row>
        <row r="44">
          <cell r="A44" t="str">
            <v>29-Legal review of agreements-INV</v>
          </cell>
          <cell r="B44" t="str">
            <v>Investigation</v>
          </cell>
          <cell r="C44" t="str">
            <v>32-Eng review of agreements-INV</v>
          </cell>
          <cell r="D44">
            <v>100000</v>
          </cell>
          <cell r="H44" t="str">
            <v>network</v>
          </cell>
        </row>
        <row r="45">
          <cell r="A45" t="str">
            <v>30-AM/FM and PPP contracts</v>
          </cell>
          <cell r="B45" t="str">
            <v>Institutional</v>
          </cell>
          <cell r="C45" t="str">
            <v>30-AM/FM and PPP contracts-INV</v>
          </cell>
          <cell r="D45">
            <v>10000</v>
          </cell>
          <cell r="H45" t="str">
            <v>site</v>
          </cell>
          <cell r="I45">
            <v>12</v>
          </cell>
        </row>
        <row r="46">
          <cell r="A46" t="str">
            <v>31-Develop levels of service</v>
          </cell>
          <cell r="B46" t="str">
            <v>Institutional</v>
          </cell>
          <cell r="C46" t="str">
            <v>None</v>
          </cell>
          <cell r="D46">
            <v>151000</v>
          </cell>
          <cell r="H46" t="str">
            <v>network</v>
          </cell>
          <cell r="I46" t="str">
            <v/>
          </cell>
        </row>
        <row r="47">
          <cell r="A47" t="str">
            <v>32-Eng review of agreements-INV</v>
          </cell>
          <cell r="B47" t="str">
            <v>Investigation</v>
          </cell>
          <cell r="C47" t="str">
            <v>52-Asset info onsite-INV</v>
          </cell>
          <cell r="D47">
            <v>5000</v>
          </cell>
          <cell r="H47" t="str">
            <v>site</v>
          </cell>
        </row>
        <row r="48">
          <cell r="A48" t="str">
            <v>33-Review 3 Waters Mgt Model-INV</v>
          </cell>
          <cell r="B48" t="str">
            <v>Investigation</v>
          </cell>
          <cell r="C48" t="str">
            <v>29-Legal review of agreements-INV</v>
          </cell>
          <cell r="D48">
            <v>11000</v>
          </cell>
          <cell r="H48" t="str">
            <v>site</v>
          </cell>
        </row>
        <row r="49">
          <cell r="A49" t="str">
            <v>34-Private connections and SW flow</v>
          </cell>
          <cell r="B49" t="str">
            <v>Institutional</v>
          </cell>
          <cell r="C49" t="str">
            <v>52-Asset info onsite-INV</v>
          </cell>
          <cell r="D49" t="str">
            <v>included in PW and SW unit costs</v>
          </cell>
          <cell r="E49">
            <v>146000</v>
          </cell>
          <cell r="H49" t="str">
            <v>site</v>
          </cell>
          <cell r="I49" t="str">
            <v>1 to 3</v>
          </cell>
        </row>
        <row r="50">
          <cell r="A50" t="str">
            <v>35-Update EPMO templates for 3 waters</v>
          </cell>
          <cell r="B50" t="str">
            <v>Institutional</v>
          </cell>
          <cell r="C50" t="str">
            <v>None</v>
          </cell>
          <cell r="D50">
            <v>30000</v>
          </cell>
          <cell r="H50" t="str">
            <v>network</v>
          </cell>
          <cell r="I50" t="str">
            <v/>
          </cell>
        </row>
        <row r="51">
          <cell r="A51" t="str">
            <v>36-Design standards</v>
          </cell>
          <cell r="B51" t="str">
            <v>Institutional</v>
          </cell>
          <cell r="C51" t="str">
            <v>31-LoS</v>
          </cell>
          <cell r="D51">
            <v>151000</v>
          </cell>
          <cell r="H51" t="str">
            <v>network</v>
          </cell>
          <cell r="I51" t="str">
            <v/>
          </cell>
        </row>
        <row r="52">
          <cell r="A52" t="str">
            <v>37-Contractor procedures</v>
          </cell>
          <cell r="B52" t="str">
            <v>Institutional</v>
          </cell>
          <cell r="C52" t="str">
            <v>None</v>
          </cell>
          <cell r="D52">
            <v>240000</v>
          </cell>
          <cell r="H52" t="str">
            <v>network</v>
          </cell>
          <cell r="I52" t="str">
            <v/>
          </cell>
        </row>
        <row r="53">
          <cell r="A53" t="str">
            <v>38-AMPs</v>
          </cell>
          <cell r="B53" t="str">
            <v>Institutional</v>
          </cell>
          <cell r="C53" t="str">
            <v>55-Renewal plan-INV</v>
          </cell>
          <cell r="D53">
            <v>18000</v>
          </cell>
          <cell r="H53" t="str">
            <v>site</v>
          </cell>
          <cell r="I53" t="str">
            <v/>
          </cell>
        </row>
        <row r="54">
          <cell r="A54" t="str">
            <v>39-Spares management</v>
          </cell>
          <cell r="B54" t="str">
            <v>Totex</v>
          </cell>
          <cell r="C54" t="str">
            <v>31-LoS</v>
          </cell>
          <cell r="D54">
            <v>40000</v>
          </cell>
          <cell r="H54" t="str">
            <v>site</v>
          </cell>
          <cell r="I54" t="str">
            <v/>
          </cell>
        </row>
        <row r="55">
          <cell r="A55" t="str">
            <v>40-Water balances-INV</v>
          </cell>
          <cell r="B55" t="str">
            <v>Investigation</v>
          </cell>
          <cell r="C55" t="str">
            <v>41-Asset info desktop-INV</v>
          </cell>
          <cell r="E55">
            <v>4000</v>
          </cell>
          <cell r="H55" t="str">
            <v>site</v>
          </cell>
        </row>
        <row r="56">
          <cell r="A56" t="str">
            <v>41-Asset info desktop-INV</v>
          </cell>
          <cell r="B56" t="str">
            <v>Investigation</v>
          </cell>
          <cell r="C56" t="str">
            <v>53-Review IMS-INV</v>
          </cell>
          <cell r="D56">
            <v>5000</v>
          </cell>
          <cell r="H56" t="str">
            <v>site</v>
          </cell>
        </row>
        <row r="57">
          <cell r="A57" t="str">
            <v>42-IMS</v>
          </cell>
          <cell r="B57" t="str">
            <v>Institutional</v>
          </cell>
          <cell r="C57" t="str">
            <v>53-Review IMS-INV</v>
          </cell>
          <cell r="H57" t="str">
            <v>network</v>
          </cell>
          <cell r="I57" t="str">
            <v>ongoing</v>
          </cell>
        </row>
        <row r="58">
          <cell r="A58" t="str">
            <v>43-Install water efficient devices</v>
          </cell>
          <cell r="B58" t="str">
            <v>Totex</v>
          </cell>
          <cell r="C58" t="str">
            <v>44-Conservation SOPs</v>
          </cell>
          <cell r="E58">
            <v>820000</v>
          </cell>
          <cell r="H58" t="str">
            <v>site</v>
          </cell>
          <cell r="I58">
            <v>6</v>
          </cell>
        </row>
        <row r="59">
          <cell r="A59" t="str">
            <v>44-Conservation SOPs</v>
          </cell>
          <cell r="B59" t="str">
            <v>Institutional</v>
          </cell>
          <cell r="C59" t="str">
            <v>31-LoS</v>
          </cell>
          <cell r="D59">
            <v>120000</v>
          </cell>
          <cell r="H59" t="str">
            <v>network</v>
          </cell>
          <cell r="I59" t="str">
            <v/>
          </cell>
        </row>
        <row r="60">
          <cell r="A60" t="str">
            <v>45-Education</v>
          </cell>
          <cell r="B60" t="str">
            <v>Institutional</v>
          </cell>
          <cell r="C60" t="str">
            <v>44-Conservation SOPs</v>
          </cell>
          <cell r="D60">
            <v>7000</v>
          </cell>
          <cell r="H60" t="str">
            <v>site</v>
          </cell>
          <cell r="I60" t="str">
            <v/>
          </cell>
        </row>
        <row r="61">
          <cell r="A61" t="str">
            <v>46-Review options to offset potable-INV</v>
          </cell>
          <cell r="B61" t="str">
            <v>Investigation</v>
          </cell>
          <cell r="C61" t="str">
            <v>40-Water balances-INV</v>
          </cell>
          <cell r="E61">
            <v>7000</v>
          </cell>
          <cell r="H61" t="str">
            <v>site</v>
          </cell>
        </row>
        <row r="62">
          <cell r="A62" t="str">
            <v>47-Alternative water sources</v>
          </cell>
          <cell r="B62" t="str">
            <v>New capex</v>
          </cell>
          <cell r="C62" t="str">
            <v>54-System Capacity-INV</v>
          </cell>
          <cell r="E62">
            <v>100000</v>
          </cell>
          <cell r="H62" t="str">
            <v>site</v>
          </cell>
        </row>
        <row r="63">
          <cell r="A63" t="str">
            <v>48-Relocate/ downsize population</v>
          </cell>
          <cell r="B63" t="str">
            <v>New capex</v>
          </cell>
          <cell r="C63" t="str">
            <v>None</v>
          </cell>
          <cell r="H63" t="str">
            <v>site</v>
          </cell>
        </row>
        <row r="64">
          <cell r="A64" t="str">
            <v>49-Review bores-1-INV</v>
          </cell>
          <cell r="B64" t="str">
            <v>Investigation</v>
          </cell>
          <cell r="C64" t="str">
            <v>41-Asset info desktop-INV</v>
          </cell>
          <cell r="E64">
            <v>5000</v>
          </cell>
          <cell r="H64" t="str">
            <v>site</v>
          </cell>
        </row>
        <row r="65">
          <cell r="A65" t="str">
            <v>49-Review bores-2-INV</v>
          </cell>
          <cell r="B65" t="str">
            <v>Investigation</v>
          </cell>
          <cell r="C65" t="str">
            <v>41-Asset info desktop-INV</v>
          </cell>
          <cell r="E65">
            <v>3000</v>
          </cell>
          <cell r="H65" t="str">
            <v>site</v>
          </cell>
        </row>
        <row r="66">
          <cell r="A66" t="str">
            <v>49-Review bores-3-INV</v>
          </cell>
          <cell r="B66" t="str">
            <v>Investigation</v>
          </cell>
          <cell r="C66" t="str">
            <v>49-Review bores-1-INV</v>
          </cell>
          <cell r="E66">
            <v>12000</v>
          </cell>
          <cell r="H66" t="str">
            <v>site</v>
          </cell>
        </row>
        <row r="67">
          <cell r="A67" t="str">
            <v>49-Review bores-4-INV</v>
          </cell>
          <cell r="B67" t="str">
            <v>Investigation</v>
          </cell>
          <cell r="C67" t="str">
            <v>49-Review bores-1-INV</v>
          </cell>
          <cell r="E67">
            <v>8000</v>
          </cell>
          <cell r="H67" t="str">
            <v>site</v>
          </cell>
        </row>
        <row r="68">
          <cell r="A68" t="str">
            <v>49-Review bores-5-INV</v>
          </cell>
          <cell r="B68" t="str">
            <v>Investigation</v>
          </cell>
          <cell r="C68" t="str">
            <v>49-Review bores-4-INV</v>
          </cell>
          <cell r="E68">
            <v>14000</v>
          </cell>
          <cell r="H68" t="str">
            <v>site</v>
          </cell>
        </row>
        <row r="69">
          <cell r="A69" t="str">
            <v>49-Review bores-6-INV</v>
          </cell>
          <cell r="B69" t="str">
            <v>Investigation</v>
          </cell>
          <cell r="C69" t="str">
            <v>49-Review bores-4-INV</v>
          </cell>
          <cell r="E69">
            <v>7000</v>
          </cell>
          <cell r="H69" t="str">
            <v>site</v>
          </cell>
        </row>
        <row r="70">
          <cell r="A70" t="str">
            <v>50-Leak detection</v>
          </cell>
          <cell r="B70" t="str">
            <v>Investigation</v>
          </cell>
          <cell r="C70" t="str">
            <v>9-Sub-metering PW and WW</v>
          </cell>
          <cell r="E70">
            <v>8000</v>
          </cell>
          <cell r="H70" t="str">
            <v>site</v>
          </cell>
        </row>
        <row r="71">
          <cell r="A71" t="str">
            <v>51-PW quality gap analysis-1-INV</v>
          </cell>
          <cell r="B71" t="str">
            <v>Investigation</v>
          </cell>
          <cell r="C71" t="str">
            <v>49-Review bores-3-INV</v>
          </cell>
          <cell r="E71">
            <v>9000</v>
          </cell>
          <cell r="H71" t="str">
            <v>site</v>
          </cell>
        </row>
        <row r="72">
          <cell r="A72" t="str">
            <v>51-PW quality gap analysis-2-INV</v>
          </cell>
          <cell r="B72" t="str">
            <v>Investigation</v>
          </cell>
          <cell r="C72" t="str">
            <v>51-PW quality gap analysis-1-INV</v>
          </cell>
          <cell r="E72">
            <v>5000</v>
          </cell>
          <cell r="H72" t="str">
            <v>site</v>
          </cell>
        </row>
        <row r="73">
          <cell r="A73" t="str">
            <v>51-PW quality gap analysis-3-INV</v>
          </cell>
          <cell r="B73" t="str">
            <v>Investigation</v>
          </cell>
          <cell r="C73" t="str">
            <v>32-Eng review of agreements-INV</v>
          </cell>
          <cell r="E73">
            <v>4000</v>
          </cell>
          <cell r="H73" t="str">
            <v>site</v>
          </cell>
        </row>
        <row r="74">
          <cell r="A74" t="str">
            <v>52-Asset info onsite-INV</v>
          </cell>
          <cell r="B74" t="str">
            <v>Investigation</v>
          </cell>
          <cell r="C74" t="str">
            <v>41-Asset info desktop-INV</v>
          </cell>
          <cell r="D74">
            <v>17000</v>
          </cell>
          <cell r="H74" t="str">
            <v>site</v>
          </cell>
        </row>
        <row r="75">
          <cell r="A75" t="str">
            <v>53-Review IMS-INV</v>
          </cell>
          <cell r="B75" t="str">
            <v>Investigation</v>
          </cell>
          <cell r="C75" t="str">
            <v>41-Asset info desktop-INV</v>
          </cell>
          <cell r="D75">
            <v>8000</v>
          </cell>
          <cell r="H75" t="str">
            <v>network</v>
          </cell>
        </row>
        <row r="76">
          <cell r="A76" t="str">
            <v>54-System Capacity-INV</v>
          </cell>
          <cell r="B76" t="str">
            <v>Investigation</v>
          </cell>
          <cell r="C76" t="str">
            <v>31-LoS</v>
          </cell>
          <cell r="D76">
            <v>10000</v>
          </cell>
          <cell r="H76" t="str">
            <v>site</v>
          </cell>
        </row>
        <row r="77">
          <cell r="A77" t="str">
            <v>55-Renewal plan-INV</v>
          </cell>
          <cell r="B77" t="str">
            <v>Investigation</v>
          </cell>
          <cell r="C77" t="str">
            <v>56-Condition above ground PW-INV</v>
          </cell>
          <cell r="E77">
            <v>6000</v>
          </cell>
          <cell r="F77">
            <v>8000</v>
          </cell>
          <cell r="G77">
            <v>5000</v>
          </cell>
          <cell r="H77" t="str">
            <v>site</v>
          </cell>
        </row>
        <row r="78">
          <cell r="A78" t="str">
            <v>56-Condition above ground-1-INV</v>
          </cell>
          <cell r="B78" t="str">
            <v>Investigation</v>
          </cell>
          <cell r="C78" t="str">
            <v>52-Asset info onsite-INV</v>
          </cell>
          <cell r="E78">
            <v>17000</v>
          </cell>
          <cell r="F78">
            <v>17000</v>
          </cell>
          <cell r="G78">
            <v>11000</v>
          </cell>
          <cell r="H78" t="str">
            <v>site</v>
          </cell>
        </row>
        <row r="79">
          <cell r="A79" t="str">
            <v>56-Condition above ground-2-INV</v>
          </cell>
          <cell r="B79" t="str">
            <v>Investigation</v>
          </cell>
          <cell r="C79" t="str">
            <v>52-Asset info onsite-INV</v>
          </cell>
          <cell r="E79">
            <v>14000</v>
          </cell>
          <cell r="F79">
            <v>29000</v>
          </cell>
          <cell r="H79" t="str">
            <v>site</v>
          </cell>
        </row>
        <row r="80">
          <cell r="A80" t="str">
            <v>57-Flooding-INV</v>
          </cell>
          <cell r="B80" t="str">
            <v>Investigation</v>
          </cell>
          <cell r="C80" t="str">
            <v>54-System Capacity-INV</v>
          </cell>
          <cell r="G80">
            <v>8000</v>
          </cell>
          <cell r="H80" t="str">
            <v>site</v>
          </cell>
        </row>
        <row r="81">
          <cell r="A81" t="str">
            <v>58-Pumps and pump stations</v>
          </cell>
          <cell r="B81" t="str">
            <v>Totex</v>
          </cell>
          <cell r="C81" t="str">
            <v>55-Renewal plan-INV</v>
          </cell>
          <cell r="E81">
            <v>15000</v>
          </cell>
          <cell r="F81">
            <v>78000</v>
          </cell>
          <cell r="H81" t="str">
            <v>site</v>
          </cell>
          <cell r="I81" t="str">
            <v/>
          </cell>
        </row>
      </sheetData>
      <sheetData sheetId="12"/>
      <sheetData sheetId="13">
        <row r="1">
          <cell r="I1">
            <v>200</v>
          </cell>
        </row>
        <row r="2">
          <cell r="I2">
            <v>250</v>
          </cell>
        </row>
        <row r="3">
          <cell r="I3">
            <v>100</v>
          </cell>
        </row>
        <row r="4">
          <cell r="I4">
            <v>500</v>
          </cell>
        </row>
        <row r="6">
          <cell r="C6">
            <v>56000</v>
          </cell>
        </row>
        <row r="7">
          <cell r="C7">
            <v>4000</v>
          </cell>
        </row>
        <row r="8">
          <cell r="C8">
            <v>23000</v>
          </cell>
        </row>
        <row r="9">
          <cell r="C9">
            <v>12000</v>
          </cell>
        </row>
        <row r="13">
          <cell r="C13">
            <v>30000</v>
          </cell>
        </row>
        <row r="14">
          <cell r="C14">
            <v>7000</v>
          </cell>
        </row>
        <row r="15">
          <cell r="C15">
            <v>100000</v>
          </cell>
        </row>
        <row r="16">
          <cell r="C16">
            <v>10000</v>
          </cell>
        </row>
        <row r="17">
          <cell r="C17">
            <v>151000</v>
          </cell>
        </row>
        <row r="18">
          <cell r="C18">
            <v>5000</v>
          </cell>
        </row>
        <row r="19">
          <cell r="C19">
            <v>11000</v>
          </cell>
        </row>
        <row r="20">
          <cell r="C20">
            <v>46000</v>
          </cell>
        </row>
        <row r="21">
          <cell r="C21">
            <v>30000</v>
          </cell>
        </row>
        <row r="22">
          <cell r="C22">
            <v>151000</v>
          </cell>
        </row>
        <row r="23">
          <cell r="C23">
            <v>240000</v>
          </cell>
        </row>
        <row r="24">
          <cell r="C24">
            <v>18000</v>
          </cell>
        </row>
        <row r="25">
          <cell r="C25">
            <v>40000</v>
          </cell>
        </row>
        <row r="28">
          <cell r="C28">
            <v>120000</v>
          </cell>
        </row>
        <row r="29">
          <cell r="C29">
            <v>7000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0">
          <cell r="E20">
            <v>2940000</v>
          </cell>
        </row>
        <row r="21">
          <cell r="E21">
            <v>3150000</v>
          </cell>
        </row>
        <row r="22">
          <cell r="E22">
            <v>3040000</v>
          </cell>
        </row>
      </sheetData>
      <sheetData sheetId="35"/>
    </sheetDataSet>
  </externalBook>
</externalLink>
</file>

<file path=xl/persons/person.xml><?xml version="1.0" encoding="utf-8"?>
<personList xmlns="http://schemas.microsoft.com/office/spreadsheetml/2018/threadedcomments" xmlns:x="http://schemas.openxmlformats.org/spreadsheetml/2006/main">
  <person displayName="Bishop, Shane" id="{0C386D1F-1EBE-4B9F-A255-6638434AF941}" userId="Shane.Bishop@stantec.com" providerId="PeoplePicker"/>
  <person displayName="Bishop, Shane" id="{E0C378FB-94C8-4CA5-9CA5-C659593D3333}" userId="S::Shane.Bishop@stantec.com::00fe1f04-1fe2-4eb0-a3ac-e4bf25b18b86" providerId="AD"/>
  <person displayName="Craig, Andrew" id="{3C2EEB95-A8B0-4983-94F1-405F3894C3AF}" userId="S::Andrew.Craig2@stantec.com::074a26f2-101c-426e-ba01-afbb4221118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0-10-28T01:52:56.15" personId="{E0C378FB-94C8-4CA5-9CA5-C659593D3333}" id="{CD7BC846-4679-4F13-817E-B7E2B7285BDB}">
    <text>Short List 7/10/2020: -	GFA = 1,540m2 (25m2 per room x 50 rooms, services 150m2, 15% circulation or 140m2, (excludes commercial kitchen which is in hub). This is a 3.5 star/eco experience type facility.</text>
  </threadedComment>
  <threadedComment ref="I4" dT="2020-10-28T01:52:56.15" personId="{E0C378FB-94C8-4CA5-9CA5-C659593D3333}" id="{F62E6069-C249-4131-A569-EEDFDB1ED262}">
    <text>Short List 7/10/2020: -	GFA = 1,540m2 (25m2 per room x 50 rooms, services 150m2, 15% circulation or 140m2, (excludes commercial kitchen which is in hub). This is a 3.5 star/eco experience type facility.</text>
  </threadedComment>
  <threadedComment ref="H5" dT="2020-11-02T02:36:25.60" personId="{E0C378FB-94C8-4CA5-9CA5-C659593D3333}" id="{98BC736A-185C-411E-B487-BD63CB5B3253}">
    <text>Assume 10% uplift in structural requirements to accomodate increased Safety Factor</text>
  </threadedComment>
  <threadedComment ref="I5" dT="2020-10-28T01:52:56.15" personId="{E0C378FB-94C8-4CA5-9CA5-C659593D3333}" id="{9A08AC05-CA41-4F91-B92A-49E5B4F94BD8}">
    <text>Short List 7/10/2020: -	GFA = 1,540m2 (25m2 per room x 50 rooms, services 150m2, 15% circulation or 140m2, (excludes commercial kitchen which is in hub). This is a 3.5 star/eco experience type facility.</text>
  </threadedComment>
  <threadedComment ref="I7" dT="2020-10-28T01:52:56.15" personId="{E0C378FB-94C8-4CA5-9CA5-C659593D3333}" id="{35A2BCD6-EBA9-4AA8-9300-388F51AB29B4}">
    <text>Short List 7/10/2020: -	-	Assumes 320 residents (at peak). A combined GFA of circa a max of 6,100m2 (long and short stay/singles and couples). Important Note: bunk rooms and shared toilets would significantly lower this calculation. For example, having 100 people in a shared room could reduce the GFA by more than 1,500m2. 
-	15m2 per room average x 320 4,800m2, 100m2 kitchens, 385m2 dinning, social areas 200m2 service areas 40m2, 10% circulation 552.5m2</text>
  </threadedComment>
  <threadedComment ref="I7" dT="2020-11-15T23:31:07.64" personId="{E0C378FB-94C8-4CA5-9CA5-C659593D3333}" id="{668308D9-1EE9-4F46-9537-684E54C97BD8}" parentId="{35A2BCD6-EBA9-4AA8-9300-388F51AB29B4}">
    <text>Assumed that shared accomodation model will be adopted with 6100m2 - 1000m2 used.</text>
  </threadedComment>
  <threadedComment ref="H8" dT="2020-11-02T02:36:25.60" personId="{E0C378FB-94C8-4CA5-9CA5-C659593D3333}" id="{DF12C2B7-5979-4183-B596-857664BEF5E0}">
    <text>Assume 10% uplift in structural requirements to accomodate increased Safety Factor</text>
  </threadedComment>
  <threadedComment ref="I8" dT="2020-10-28T01:52:56.15" personId="{E0C378FB-94C8-4CA5-9CA5-C659593D3333}" id="{5F68313E-6942-4D8A-B179-9FCA885F7744}">
    <text>Short List 7/10/2020: -	-	Assumes 320 residents (at peak). A combined GFA of circa a max of 6,100m2 (long and short stay/singles and couples). Important Note: bunk rooms and shared toilets would significantly lower this calculation. For example, having 100 people in a shared room could reduce the GFA by more than 1,500m2. 
-	15m2 per room average x 320 4,800m2, 100m2 kitchens, 385m2 dinning, social areas 200m2 service areas 40m2, 10% circulation 552.5m2</text>
  </threadedComment>
  <threadedComment ref="I8" dT="2020-11-15T23:31:07.64" personId="{E0C378FB-94C8-4CA5-9CA5-C659593D3333}" id="{C7D9E030-360B-4864-B4A8-B1784B6A01FC}" parentId="{5F68313E-6942-4D8A-B179-9FCA885F7744}">
    <text>Assumed that shared accomodation model will be adopted with 6100m2 - 1000m2 used.</text>
  </threadedComment>
  <threadedComment ref="H12" dT="2020-10-29T21:55:36.59" personId="{3C2EEB95-A8B0-4983-94F1-405F3894C3AF}" id="{47737930-517C-40B4-B624-10E62D03D532}">
    <text>@Bishop, Shane there are two structures/parts, namely the visitor hub and marine centre in the shortlist - I think we should cost separately even if they are built into parts of same building</text>
    <mentions>
      <mention mentionpersonId="{0C386D1F-1EBE-4B9F-A255-6638434AF941}" mentionId="{EAADFCCA-BFD0-43C4-A824-DB0D99580B6D}" startIndex="0" length="14"/>
    </mentions>
  </threadedComment>
  <threadedComment ref="H12" dT="2020-11-19T23:22:40.04" personId="{E0C378FB-94C8-4CA5-9CA5-C659593D3333}" id="{7A7855FF-B012-4C16-9ADC-7237F58E122E}" parentId="{47737930-517C-40B4-B624-10E62D03D532}">
    <text>Agreed</text>
  </threadedComment>
  <threadedComment ref="I12" dT="2020-10-28T01:47:20.35" personId="{E0C378FB-94C8-4CA5-9CA5-C659593D3333}" id="{375AE2C0-B882-478B-B1F2-4B97B973A19E}">
    <text>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text>
  </threadedComment>
  <threadedComment ref="I12" dT="2020-11-02T02:22:56.02" personId="{E0C378FB-94C8-4CA5-9CA5-C659593D3333}" id="{3BC350D2-CDB3-4831-91CF-A66B6B990DE5}" parentId="{375AE2C0-B882-478B-B1F2-4B97B973A19E}">
    <text>Assessed as the footprint required for the Marine Interpretive Centre</text>
  </threadedComment>
  <threadedComment ref="H13" dT="2020-10-29T21:55:36.59" personId="{3C2EEB95-A8B0-4983-94F1-405F3894C3AF}" id="{A6639FE6-79D6-465B-AB21-3B69F943D701}">
    <text>@Bishop, Shane there are two structures/parts, namely the visitor hub and marine centre in the shortlist - I think we should cost separately even if they are built into parts of same building</text>
    <mentions>
      <mention mentionpersonId="{0C386D1F-1EBE-4B9F-A255-6638434AF941}" mentionId="{BB1BD234-337E-4795-8D7E-3A0C408E2DBA}" startIndex="0" length="14"/>
    </mentions>
  </threadedComment>
  <threadedComment ref="I13" dT="2020-10-28T01:47:20.35" personId="{E0C378FB-94C8-4CA5-9CA5-C659593D3333}" id="{2B80D8EF-0051-49B2-8402-760ED92A7321}">
    <text>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text>
  </threadedComment>
  <threadedComment ref="I13" dT="2020-11-02T02:22:56.02" personId="{E0C378FB-94C8-4CA5-9CA5-C659593D3333}" id="{39DDA7ED-2D33-4417-B88C-720D1FD5D847}" parentId="{2B80D8EF-0051-49B2-8402-760ED92A7321}">
    <text>Assessed as the footprint required for the Marine Interpretive Centre</text>
  </threadedComment>
  <threadedComment ref="H14" dT="2020-11-02T02:36:25.60" personId="{E0C378FB-94C8-4CA5-9CA5-C659593D3333}" id="{4EB5F33D-F359-4DF5-BA8F-CFB9692EB188}">
    <text>Assume 10% uplift in structural requirements to accomodate increased Safety Factor</text>
  </threadedComment>
  <threadedComment ref="I14" dT="2020-10-28T01:47:20.35" personId="{E0C378FB-94C8-4CA5-9CA5-C659593D3333}" id="{B7D87BBE-20EE-4021-9406-DC5C1855CB2F}">
    <text>Short List 7/10/2020: Estimated GFA 950m2 front of house (TBC). Size depends on approach and final hub and transport model.  
•	Gallery 650m2 (black box high stud) – icon architecture
•	Audio-visual / seminar room –80m2
•	Viewing room with interpretation / touch tanks (views over water, light, high stud) 200m2
•	Office 20m2
•	Plant room / back of house / loading dock 40m2
•	Assume shared foyer, toilets and some additional back of house with visitor hub.</text>
  </threadedComment>
  <threadedComment ref="I14" dT="2020-11-02T02:22:56.02" personId="{E0C378FB-94C8-4CA5-9CA5-C659593D3333}" id="{0A0AAD5E-21F3-4027-B46E-4EF4C4FC68C5}" parentId="{B7D87BBE-20EE-4021-9406-DC5C1855CB2F}">
    <text>Assessed as the footprint required for the Marine Interpretive Centre</text>
  </threadedComment>
  <threadedComment ref="I15" dT="2020-11-02T02:23:39.58" personId="{E0C378FB-94C8-4CA5-9CA5-C659593D3333}" id="{1FEAB72E-636B-453A-A8F4-E8B62D2A0DFC}">
    <text>From the Short List, nominated as 1,800 m2</text>
  </threadedComment>
  <threadedComment ref="I16" dT="2020-11-02T02:23:39.58" personId="{E0C378FB-94C8-4CA5-9CA5-C659593D3333}" id="{8E849704-3446-4F9C-A6A3-C494013AE107}">
    <text>From the Short List, nominated as 1,800 m2</text>
  </threadedComment>
  <threadedComment ref="H17" dT="2020-11-02T02:36:25.60" personId="{E0C378FB-94C8-4CA5-9CA5-C659593D3333}" id="{06DAFFFA-077B-4848-AA21-2EDEC00CA5D4}">
    <text>Assume 10% uplift in structural requirements to accomodate increased Safety Factor</text>
  </threadedComment>
  <threadedComment ref="I17" dT="2020-11-02T02:23:39.58" personId="{E0C378FB-94C8-4CA5-9CA5-C659593D3333}" id="{E0EF451C-14DE-4D0E-AAFD-430A7F184EA6}">
    <text>From the Short List, nominated as 1,800 m2</text>
  </threadedComment>
  <threadedComment ref="I19" dT="2020-10-28T01:47:29.27" personId="{E0C378FB-94C8-4CA5-9CA5-C659593D3333}" id="{9EBE63A5-C859-4223-B2B0-735A5136DC68}">
    <text>Scale: Light touch – under 100m2 (links with 2.1).
Administration of a public boat ramp is incorporated into the design, along with potential community facilities.
or 
3.4b) Enhance deep water basin commercial/ recreational wharf, including optimising boat ramp management	GFA of 600m2
Allow for 350m2</text>
  </threadedComment>
  <threadedComment ref="I19" dT="2020-11-18T23:29:52.41" personId="{E0C378FB-94C8-4CA5-9CA5-C659593D3333}" id="{274C805D-FB72-416D-8141-9B79081F78B3}" parentId="{9EBE63A5-C859-4223-B2B0-735A5136DC68}">
    <text>Add 300m2 for operations</text>
  </threadedComment>
  <threadedComment ref="H29" dT="2020-11-03T02:03:36.86" personId="{E0C378FB-94C8-4CA5-9CA5-C659593D3333}" id="{F599D5E6-3407-4FF6-940E-949089DA409E}">
    <text>estimate on the basis of a robust bus shelter and a toliet block</text>
  </threadedComment>
  <threadedComment ref="I30" dT="2020-11-11T18:31:49.97" personId="{E0C378FB-94C8-4CA5-9CA5-C659593D3333}" id="{7C6406DC-5CE4-4408-B430-40CCFCA3C7E1}">
    <text>realignment of the taxiway and terminal space</text>
  </threadedComment>
  <threadedComment ref="I31" dT="2020-11-11T18:41:42.30" personId="{E0C378FB-94C8-4CA5-9CA5-C659593D3333}" id="{28F6AE75-85EB-4AF5-ABD2-C6C5F64AB438}">
    <text>allowance for 200 carpark spaces</text>
  </threadedComment>
  <threadedComment ref="H32" dT="2020-11-11T18:32:45.33" personId="{E0C378FB-94C8-4CA5-9CA5-C659593D3333}" id="{6FC9051D-7434-4163-8D0F-2B380D59928F}">
    <text>75% of Carriageway figure as reduced width (15m compared to 20m)</text>
  </threadedComment>
  <threadedComment ref="I41" dT="2020-11-03T01:48:24.39" personId="{E0C378FB-94C8-4CA5-9CA5-C659593D3333}" id="{FD5A40FC-C377-49E3-AD0E-07A2D9D6FDB1}">
    <text>assessed as 1500m2 and 80m2 per bus storage (refer to Go Bus storage depot, Chch in Te Anau TAB)</text>
  </threadedComment>
  <threadedComment ref="I47" dT="2020-10-21T04:30:35.80" personId="{E0C378FB-94C8-4CA5-9CA5-C659593D3333}" id="{3104552C-0AAC-48AC-8032-DFDF63927257}">
    <text>Assumes Manholes at 80m intervals on average</text>
  </threadedComment>
  <threadedComment ref="I51" dT="2020-10-21T02:29:29.49" personId="{E0C378FB-94C8-4CA5-9CA5-C659593D3333}" id="{3128A740-B95D-4C12-98A9-94EB9FC66FB4}">
    <text>assumes a valve or hydrant at 135m intervals</text>
  </threadedComment>
  <threadedComment ref="I60" dT="2020-11-30T06:26:00.72" personId="{E0C378FB-94C8-4CA5-9CA5-C659593D3333}" id="{E79DF30A-3B26-4C15-B5D0-8AD76EB0EE52}">
    <text>Approx. measure at 2400m with an addition of 50% for variance in the alignment and for structures</text>
  </threadedComment>
  <threadedComment ref="T61" dT="2020-11-30T17:03:31.35" personId="{E0C378FB-94C8-4CA5-9CA5-C659593D3333}" id="{E4AD05A8-6E51-4943-8275-7451D251289D}">
    <text>From Craig Jones</text>
  </threadedComment>
  <threadedComment ref="I67" dT="2020-10-28T01:57:39.09" personId="{E0C378FB-94C8-4CA5-9CA5-C659593D3333}" id="{98C476EF-8F61-4239-A501-D175F11A4EB9}">
    <text>Short List 7/10/2020: -	Could be one open sided timber structure or separated into 3-4 dispersed or clustered modules of circa 50m2 -66m2.  therefore allow for (4 * 66 + 25%) 330m2 allowed for</text>
  </threadedComment>
  <threadedComment ref="I71" dT="2020-10-21T02:29:29.49" personId="{E0C378FB-94C8-4CA5-9CA5-C659593D3333}" id="{5EDA90F9-E5DE-446F-BE6D-3C2A53F5D5C3}">
    <text>assumes a valve or hydrant at 135m intervals</text>
  </threadedComment>
  <threadedComment ref="I74" dT="2020-10-21T04:30:35.80" personId="{E0C378FB-94C8-4CA5-9CA5-C659593D3333}" id="{9D9F3B53-330B-460F-9143-D9DFF0728D2F}">
    <text>Assumes Manholes at 80m intervals on average</text>
  </threadedComment>
  <threadedComment ref="T89" dT="2020-11-30T17:03:31.35" personId="{E0C378FB-94C8-4CA5-9CA5-C659593D3333}" id="{C14D4B78-B5D2-4D56-86E7-B4D343808AD6}">
    <text>From Craig Jones</text>
  </threadedComment>
  <threadedComment ref="I90" dT="2020-11-19T21:46:49.76" personId="{E0C378FB-94C8-4CA5-9CA5-C659593D3333}" id="{E4D93490-52DA-458F-87AC-69CBB63E3E12}">
    <text>length of highway between the two locations</text>
  </threadedComment>
  <threadedComment ref="I91" dT="2020-11-19T21:46:49.76" personId="{E0C378FB-94C8-4CA5-9CA5-C659593D3333}" id="{7617CF69-2775-47C7-810F-8D9A725CEEA8}">
    <text>length of highway between the two locations</text>
  </threadedComment>
  <threadedComment ref="I92" dT="2020-10-28T01:47:20.35" personId="{E0C378FB-94C8-4CA5-9CA5-C659593D3333}" id="{260796F5-733C-4929-8E82-44A297A4CC7B}">
    <text>Estimated GFA 200m2 front of house (TBC). 
•	Audio-visual / seminar room –80m2
•	Viewing room with interpretation(views over water, light, high stud) 50m2
•	Office 20m2
•	Entry / reception 50m2</text>
  </threadedComment>
  <threadedComment ref="F97" dT="2020-11-02T22:48:32.90" personId="{E0C378FB-94C8-4CA5-9CA5-C659593D3333}" id="{44BD3EB8-61D0-4551-A674-444DE29A897F}">
    <text>refer Corridor Tab for information</text>
  </threadedComment>
  <threadedComment ref="F98" dT="2020-11-02T22:48:32.90" personId="{E0C378FB-94C8-4CA5-9CA5-C659593D3333}" id="{21B306EF-C5FA-4ACD-B52F-CF397D46F4BC}">
    <text>refer Corridor Tab for information</text>
  </threadedComment>
  <threadedComment ref="F99" dT="2020-11-02T22:48:32.90" personId="{E0C378FB-94C8-4CA5-9CA5-C659593D3333}" id="{81A2EDE8-FA34-4A9D-B233-63CF7BD21340}">
    <text>refer Corridor Tab for information</text>
  </threadedComment>
  <threadedComment ref="F100" dT="2020-11-02T22:48:32.90" personId="{E0C378FB-94C8-4CA5-9CA5-C659593D3333}" id="{5F59F3C3-28AE-4969-8992-89BF5F06D65F}">
    <text>refer Corridor Tab for information</text>
  </threadedComment>
  <threadedComment ref="F102" dT="2020-11-02T22:48:32.90" personId="{E0C378FB-94C8-4CA5-9CA5-C659593D3333}" id="{B6AF9391-F3D8-4E76-87E1-DF2F660DB231}">
    <text>refer Corridor Tab for information</text>
  </threadedComment>
  <threadedComment ref="F103" dT="2020-11-02T22:48:32.90" personId="{E0C378FB-94C8-4CA5-9CA5-C659593D3333}" id="{AE3D7EEC-7682-4AFB-847A-2EA8AD1A1220}">
    <text>refer Corridor Tab for information</text>
  </threadedComment>
  <threadedComment ref="I106" dT="2020-11-11T17:10:42.82" personId="{E0C378FB-94C8-4CA5-9CA5-C659593D3333}" id="{06A21ED1-32E0-4D66-874E-C57BFEBC2851}">
    <text>compared as the size of the existing facility in Te Anau</text>
  </threadedComment>
  <threadedComment ref="I109" dT="2020-11-11T17:32:25.85" personId="{E0C378FB-94C8-4CA5-9CA5-C659593D3333}" id="{7076B424-E41F-4C2C-A123-246C78EAFFED}">
    <text>allowance for modifications that may be required to existing roads to accomodate the vehicle fleet</text>
  </threadedComment>
  <threadedComment ref="I110" dT="2020-10-28T01:35:41.75" personId="{E0C378FB-94C8-4CA5-9CA5-C659593D3333}" id="{44E77BCF-2B21-4502-B665-5B03C10233B0}">
    <text>Vingrys, Saulius Email 20/10/2020 "The bus fleet is pretty large, 156 buses in total during the peak season – 148 buses at Te Anau and 8 buses at Piopiotahi. We will also require approximately 25-30 bus parking spaces for buses that arrived to Piopiotahi and wait for the afternoon departure peak. Please see below –  two scenarios plotted below showing the change in bus numbers at Te Anau and Piopiotahi throughout the day. This is an indication and can probably be further refined. There will have to be two areas at Piopiotahi and Te Anau – one for bus drop-off and pick-up and another for bus parking (overnight or for a few hours)."</text>
  </threadedComment>
  <threadedComment ref="I111" dT="2020-10-28T01:35:41.75" personId="{E0C378FB-94C8-4CA5-9CA5-C659593D3333}" id="{93D209C2-9ABF-4CEE-8F61-6F40F630AAA6}">
    <text>Vingrys, Saulius Email 20/10/2020 "The bus fleet is pretty large, 156 buses in total during the peak season – 148 buses at Te Anau and 8 buses at Piopiotahi. We will also require approximately 25-30 bus parking spaces for buses that arrived to Piopiotahi and wait for the afternoon departure peak. Please see below –  two scenarios plotted below showing the change in bus numbers at Te Anau and Piopiotahi throughout the day. This is an indication and can probably be further refined. There will have to be two areas at Piopiotahi and Te Anau – one for bus drop-off and pick-up and another for bus parking (overnight or for a few hours)."</text>
  </threadedComment>
  <threadedComment ref="I115" dT="2020-11-03T01:48:24.39" personId="{E0C378FB-94C8-4CA5-9CA5-C659593D3333}" id="{9FCFF839-22EF-4702-9266-2C16E1F59D56}">
    <text>assessed as 2500m2 and 80m2 per bus storage (refer to Go Bus storage depot, Chch in Te Anau TAB)</text>
  </threadedComment>
  <threadedComment ref="H119" dT="2020-11-19T23:05:31.39" personId="{E0C378FB-94C8-4CA5-9CA5-C659593D3333}" id="{00424086-E236-403D-AF04-6A916881E988}">
    <text>allows for 20m2 per lot for land purchase</text>
  </threadedComment>
  <threadedComment ref="I122" dT="2020-10-21T04:30:35.80" personId="{E0C378FB-94C8-4CA5-9CA5-C659593D3333}" id="{1EA5EA24-4775-4AA7-897A-433F4E1AE1A8}">
    <text>Assumes Manholes at 80m intervals on average</text>
  </threadedComment>
  <threadedComment ref="I127" dT="2020-10-21T02:29:29.49" personId="{E0C378FB-94C8-4CA5-9CA5-C659593D3333}" id="{A1927DAB-287C-416F-A19B-F7F73A302712}">
    <text>assumes a valve or hydrant at 135m intervals</text>
  </threadedComment>
  <threadedComment ref="T129" dT="2020-11-30T17:03:31.35" personId="{E0C378FB-94C8-4CA5-9CA5-C659593D3333}" id="{023DABD2-35C6-43FE-B437-443AC48F5BC7}">
    <text>From Craig Jones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E42" dT="2020-09-09T00:32:16.12" personId="{E0C378FB-94C8-4CA5-9CA5-C659593D3333}" id="{2C055495-8497-44C9-93FC-01AF45894521}">
    <text>Typical Figure for WW Grav.</text>
  </threadedComment>
  <threadedComment ref="E43" dT="2020-09-09T12:03:52.28" personId="{E0C378FB-94C8-4CA5-9CA5-C659593D3333}" id="{2D6458FE-CB8F-4DC9-AEE5-61D01FD6BD86}">
    <text>Typical Figure for SW Grav. (increased size to WW and Conc. rather than PVC)</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0F8C8-E977-4951-94FC-83A23915EDDC}">
  <dimension ref="A1:E15"/>
  <sheetViews>
    <sheetView tabSelected="1" zoomScale="85" zoomScaleNormal="85" workbookViewId="0">
      <selection activeCell="B9" sqref="B9"/>
    </sheetView>
  </sheetViews>
  <sheetFormatPr defaultRowHeight="15" x14ac:dyDescent="0.25"/>
  <cols>
    <col min="1" max="1" width="27.5703125" bestFit="1" customWidth="1"/>
    <col min="2" max="2" width="80.42578125" customWidth="1"/>
    <col min="3" max="3" width="7.140625" customWidth="1"/>
    <col min="4" max="4" width="19" customWidth="1"/>
    <col min="5" max="5" width="37.140625" customWidth="1"/>
    <col min="6" max="6" width="19" customWidth="1"/>
    <col min="7" max="9" width="20.42578125" customWidth="1"/>
  </cols>
  <sheetData>
    <row r="1" spans="1:5" ht="23.25" x14ac:dyDescent="0.25">
      <c r="A1" s="61" t="s">
        <v>0</v>
      </c>
      <c r="B1" s="55" t="s">
        <v>1</v>
      </c>
      <c r="D1" s="61" t="s">
        <v>557</v>
      </c>
      <c r="E1" s="55" t="s">
        <v>558</v>
      </c>
    </row>
    <row r="2" spans="1:5" x14ac:dyDescent="0.25">
      <c r="A2" s="63" t="s">
        <v>554</v>
      </c>
      <c r="B2" s="65" t="s">
        <v>2</v>
      </c>
      <c r="D2" s="14" t="s">
        <v>559</v>
      </c>
      <c r="E2" s="65" t="s">
        <v>563</v>
      </c>
    </row>
    <row r="3" spans="1:5" ht="30" x14ac:dyDescent="0.25">
      <c r="A3" s="64"/>
      <c r="B3" s="65" t="s">
        <v>3</v>
      </c>
      <c r="D3" s="14" t="s">
        <v>560</v>
      </c>
      <c r="E3" s="65" t="s">
        <v>564</v>
      </c>
    </row>
    <row r="4" spans="1:5" x14ac:dyDescent="0.25">
      <c r="A4" s="64"/>
      <c r="B4" s="65" t="s">
        <v>4</v>
      </c>
      <c r="D4" s="14" t="s">
        <v>561</v>
      </c>
      <c r="E4" s="65" t="s">
        <v>565</v>
      </c>
    </row>
    <row r="5" spans="1:5" x14ac:dyDescent="0.25">
      <c r="A5" s="64"/>
      <c r="B5" s="65" t="s">
        <v>555</v>
      </c>
      <c r="D5" s="14" t="s">
        <v>562</v>
      </c>
      <c r="E5" s="65" t="s">
        <v>566</v>
      </c>
    </row>
    <row r="6" spans="1:5" x14ac:dyDescent="0.25">
      <c r="B6" s="92" t="s">
        <v>577</v>
      </c>
      <c r="D6" s="91"/>
      <c r="E6" s="91"/>
    </row>
    <row r="7" spans="1:5" x14ac:dyDescent="0.25">
      <c r="A7" s="63" t="s">
        <v>5</v>
      </c>
      <c r="B7" s="65" t="s">
        <v>6</v>
      </c>
      <c r="D7" s="14" t="s">
        <v>567</v>
      </c>
      <c r="E7" s="65" t="s">
        <v>569</v>
      </c>
    </row>
    <row r="8" spans="1:5" ht="45" x14ac:dyDescent="0.25">
      <c r="A8" s="64"/>
      <c r="B8" s="65" t="s">
        <v>7</v>
      </c>
      <c r="D8" s="14" t="s">
        <v>568</v>
      </c>
      <c r="E8" s="65" t="s">
        <v>570</v>
      </c>
    </row>
    <row r="9" spans="1:5" ht="30" x14ac:dyDescent="0.25">
      <c r="A9" s="64"/>
      <c r="B9" s="65" t="s">
        <v>8</v>
      </c>
      <c r="D9" s="14" t="s">
        <v>571</v>
      </c>
      <c r="E9" s="65" t="s">
        <v>572</v>
      </c>
    </row>
    <row r="10" spans="1:5" x14ac:dyDescent="0.25">
      <c r="A10" s="62"/>
      <c r="B10" s="65" t="s">
        <v>9</v>
      </c>
      <c r="D10" s="89"/>
      <c r="E10" s="89"/>
    </row>
    <row r="11" spans="1:5" x14ac:dyDescent="0.25">
      <c r="A11" s="63" t="s">
        <v>10</v>
      </c>
      <c r="B11" s="58" t="s">
        <v>11</v>
      </c>
      <c r="D11" s="14" t="s">
        <v>573</v>
      </c>
      <c r="E11" s="58" t="s">
        <v>575</v>
      </c>
    </row>
    <row r="12" spans="1:5" ht="30" x14ac:dyDescent="0.25">
      <c r="A12" s="64"/>
      <c r="B12" s="58" t="s">
        <v>12</v>
      </c>
      <c r="D12" s="14" t="s">
        <v>574</v>
      </c>
      <c r="E12" s="58" t="s">
        <v>576</v>
      </c>
    </row>
    <row r="13" spans="1:5" ht="30" x14ac:dyDescent="0.25">
      <c r="A13" s="62"/>
      <c r="B13" s="58" t="s">
        <v>13</v>
      </c>
    </row>
    <row r="14" spans="1:5" x14ac:dyDescent="0.25">
      <c r="A14" s="62" t="s">
        <v>14</v>
      </c>
      <c r="B14" s="58" t="s">
        <v>578</v>
      </c>
    </row>
    <row r="15" spans="1:5" ht="30" x14ac:dyDescent="0.25">
      <c r="A15" s="14" t="s">
        <v>556</v>
      </c>
      <c r="B15" s="58" t="s">
        <v>15</v>
      </c>
    </row>
  </sheetData>
  <sheetProtection algorithmName="SHA-512" hashValue="SN9k0sxvGX3/RTd0+53Euidry4fNp1RahGTDPvvHobkFlKGR4lNxhcXSKyEzuiYXg9U2hKz3RqRaFr6QPhcMJg==" saltValue="CmDLdpTtCuAHucVEQOiQR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C16C2-88B3-4300-9DC5-E20AD76668A1}">
  <sheetPr>
    <pageSetUpPr fitToPage="1"/>
  </sheetPr>
  <dimension ref="A1:P78"/>
  <sheetViews>
    <sheetView zoomScale="80" zoomScaleNormal="80" workbookViewId="0">
      <pane xSplit="4" ySplit="2" topLeftCell="E3" activePane="bottomRight" state="frozen"/>
      <selection pane="topRight" activeCell="D1" sqref="D1"/>
      <selection pane="bottomLeft" activeCell="A3" sqref="A3"/>
      <selection pane="bottomRight" activeCell="E7" sqref="E7"/>
    </sheetView>
  </sheetViews>
  <sheetFormatPr defaultRowHeight="15" x14ac:dyDescent="0.25"/>
  <cols>
    <col min="1" max="1" width="7.85546875" style="3" customWidth="1"/>
    <col min="2" max="2" width="19.42578125" style="3" customWidth="1"/>
    <col min="3" max="3" width="22.42578125" style="77" customWidth="1"/>
    <col min="4" max="4" width="50.42578125" style="3" customWidth="1"/>
    <col min="5" max="5" width="64.5703125" style="77" customWidth="1"/>
    <col min="6" max="6" width="7.42578125" style="3" customWidth="1"/>
    <col min="7" max="7" width="15.42578125" style="3" customWidth="1"/>
    <col min="8" max="10" width="18.5703125" style="3" customWidth="1"/>
    <col min="11" max="11" width="20.42578125" style="3" customWidth="1"/>
    <col min="12" max="12" width="18.5703125" style="3" customWidth="1"/>
    <col min="13" max="13" width="41.42578125" style="59" customWidth="1"/>
    <col min="14" max="14" width="34.85546875" style="59" customWidth="1"/>
    <col min="15" max="15" width="18.5703125" style="3" customWidth="1"/>
    <col min="16" max="16" width="52.5703125" style="3" customWidth="1"/>
  </cols>
  <sheetData>
    <row r="1" spans="1:16" x14ac:dyDescent="0.25">
      <c r="A1" s="44"/>
      <c r="B1" s="44"/>
      <c r="C1" s="76"/>
      <c r="D1" s="44"/>
      <c r="E1" s="76"/>
      <c r="F1" s="44"/>
      <c r="G1" s="44"/>
      <c r="H1" s="14"/>
      <c r="I1" s="14" t="s">
        <v>82</v>
      </c>
      <c r="J1" s="31">
        <f>Cost_Estimates!V1</f>
        <v>2022</v>
      </c>
      <c r="K1" s="14"/>
      <c r="L1" s="14"/>
      <c r="M1" s="58"/>
      <c r="N1" s="58"/>
      <c r="O1" s="14"/>
      <c r="P1" s="14"/>
    </row>
    <row r="2" spans="1:16" ht="30" x14ac:dyDescent="0.25">
      <c r="A2" s="37" t="s">
        <v>338</v>
      </c>
      <c r="B2" s="37" t="s">
        <v>83</v>
      </c>
      <c r="C2" s="37" t="s">
        <v>351</v>
      </c>
      <c r="D2" s="37" t="s">
        <v>17</v>
      </c>
      <c r="E2" s="37" t="s">
        <v>85</v>
      </c>
      <c r="F2" s="37" t="s">
        <v>86</v>
      </c>
      <c r="G2" s="37" t="s">
        <v>88</v>
      </c>
      <c r="H2" s="37" t="s">
        <v>99</v>
      </c>
      <c r="I2" s="37" t="s">
        <v>100</v>
      </c>
      <c r="J2" s="37" t="s">
        <v>100</v>
      </c>
      <c r="K2" s="37" t="s">
        <v>101</v>
      </c>
      <c r="L2" s="37" t="s">
        <v>102</v>
      </c>
      <c r="M2" s="37" t="s">
        <v>103</v>
      </c>
      <c r="N2" s="37" t="s">
        <v>104</v>
      </c>
      <c r="O2" s="37" t="s">
        <v>105</v>
      </c>
      <c r="P2" s="37" t="s">
        <v>106</v>
      </c>
    </row>
    <row r="3" spans="1:16" ht="60.6" customHeight="1" x14ac:dyDescent="0.25">
      <c r="A3" s="14" t="s">
        <v>383</v>
      </c>
      <c r="B3" s="14" t="str">
        <f>IF(VLOOKUP($A3,Cost_Estimates!$A$3:$AB$189,2,FALSE)="","",VLOOKUP($A3,Cost_Estimates!$A$3:$AB$189,2,FALSE))</f>
        <v>Piopiotahi</v>
      </c>
      <c r="C3" s="11" t="str">
        <f>IF(VLOOKUP($A3,Cost_Estimates!$A$3:$AB$189,4,FALSE)="","",VLOOKUP($A3,Cost_Estimates!$A$3:$AB$189,4,FALSE))</f>
        <v>Visitor Hub</v>
      </c>
      <c r="D3" s="14" t="str">
        <f>IF(VLOOKUP($A3,Cost_Estimates!$A$3:$AB$189,5,FALSE)="","",VLOOKUP($A3,Cost_Estimates!$A$3:$AB$189,5,FALSE))</f>
        <v>Deconstruction - Existing Hub</v>
      </c>
      <c r="E3" s="11" t="str">
        <f>IF(VLOOKUP($A3,Cost_Estimates!$A$3:$AB$189,6,FALSE)="","",VLOOKUP($A3,Cost_Estimates!$A$3:$AB$189,6,FALSE))</f>
        <v>Removal of structures in the central hub to make way for Visitor Experience, Accommodation and Marine Centre</v>
      </c>
      <c r="F3" s="14" t="str">
        <f>IF(VLOOKUP($A3,Cost_Estimates!$A$3:$AB$189,7,FALSE)="","",VLOOKUP($A3,Cost_Estimates!$A$3:$AB$189,7,FALSE))</f>
        <v>m2</v>
      </c>
      <c r="G3" s="45">
        <f>IF(VLOOKUP($A3,Cost_Estimates!$A$3:$AB$189,9,FALSE)="","",VLOOKUP($A3,Cost_Estimates!$A$3:$AB$189,9,FALSE))</f>
        <v>6125</v>
      </c>
      <c r="H3" s="43">
        <f>IF(VLOOKUP($A3,Cost_Estimates!$A$3:$AB$189,20,FALSE)="","",VLOOKUP($A3,Cost_Estimates!$A$3:$AB$189,20,FALSE))</f>
        <v>1844000</v>
      </c>
      <c r="I3" s="7">
        <f>IF(VLOOKUP($A3,Cost_Estimates!$A$3:$AB$189,21,FALSE)="","",VLOOKUP($A3,Cost_Estimates!$A$3:$AB$189,21,FALSE))</f>
        <v>0</v>
      </c>
      <c r="J3" s="7">
        <f>IF(VLOOKUP($A3,Cost_Estimates!$A$3:$AB$189,22,FALSE)="","",VLOOKUP($A3,Cost_Estimates!$A$3:$AB$189,22,FALSE))</f>
        <v>2022</v>
      </c>
      <c r="K3" s="7">
        <f>IF(VLOOKUP($A3,Cost_Estimates!$A$3:$AB$189,23,FALSE)="","",VLOOKUP($A3,Cost_Estimates!$A$3:$AB$189,23,FALSE))</f>
        <v>1</v>
      </c>
      <c r="L3" s="7">
        <f>IF(VLOOKUP($A3,Cost_Estimates!$A$3:$AB$189,24,FALSE)="","",VLOOKUP($A3,Cost_Estimates!$A$3:$AB$189,24,FALSE))</f>
        <v>2023</v>
      </c>
      <c r="M3" s="58" t="str">
        <f>IF(VLOOKUP($A3,Cost_Estimates!$A$3:$AB$189,25,FALSE)="","",VLOOKUP($A3,Cost_Estimates!$A$3:$AB$189,25,FALSE))</f>
        <v/>
      </c>
      <c r="N3" s="58" t="str">
        <f>IF(VLOOKUP($A3,Cost_Estimates!$A$3:$AB$189,26,FALSE)="","",VLOOKUP($A3,Cost_Estimates!$A$3:$AB$189,26,FALSE))</f>
        <v/>
      </c>
      <c r="O3" s="14" t="str">
        <f>IF(VLOOKUP($A3,Cost_Estimates!$A$3:$AB$189,27,FALSE)="","",VLOOKUP($A3,Cost_Estimates!$A$3:$AB$189,27,FALSE))</f>
        <v/>
      </c>
      <c r="P3" s="14" t="str">
        <f>IF(VLOOKUP($A3,Cost_Estimates!$A$3:$AB$189,28,FALSE)="","",VLOOKUP($A3,Cost_Estimates!$A$3:$AB$189,28,FALSE))</f>
        <v/>
      </c>
    </row>
    <row r="4" spans="1:16" ht="60.6" customHeight="1" x14ac:dyDescent="0.25">
      <c r="A4" s="14" t="s">
        <v>382</v>
      </c>
      <c r="B4" s="14" t="str">
        <f>IF(VLOOKUP($A4,Cost_Estimates!$A$3:$AB$189,2,FALSE)="","",VLOOKUP($A4,Cost_Estimates!$A$3:$AB$189,2,FALSE))</f>
        <v>Piopiotahi</v>
      </c>
      <c r="C4" s="11" t="str">
        <f>IF(VLOOKUP($A4,Cost_Estimates!$A$3:$AB$189,4,FALSE)="","",VLOOKUP($A4,Cost_Estimates!$A$3:$AB$189,4,FALSE))</f>
        <v>Visitor Hub</v>
      </c>
      <c r="D4" s="14" t="str">
        <f>IF(VLOOKUP($A4,Cost_Estimates!$A$3:$AB$189,5,FALSE)="","",VLOOKUP($A4,Cost_Estimates!$A$3:$AB$189,5,FALSE))</f>
        <v>Visitor Experience Hub - Piopiotahi</v>
      </c>
      <c r="E4" s="11" t="str">
        <f>IF(VLOOKUP($A4,Cost_Estimates!$A$3:$AB$189,6,FALSE)="","",VLOOKUP($A4,Cost_Estimates!$A$3:$AB$189,6,FALSE))</f>
        <v>Facility developed to act as the focal point for the overall experience. Ticketing, interactive displays, information, services. Proposed adjacent to or including Marine Interpretive Centre.</v>
      </c>
      <c r="F4" s="14" t="str">
        <f>IF(VLOOKUP($A4,Cost_Estimates!$A$3:$AB$189,7,FALSE)="","",VLOOKUP($A4,Cost_Estimates!$A$3:$AB$189,7,FALSE))</f>
        <v>m2</v>
      </c>
      <c r="G4" s="45">
        <f>IF(VLOOKUP($A4,Cost_Estimates!$A$3:$AB$189,9,FALSE)="","",VLOOKUP($A4,Cost_Estimates!$A$3:$AB$189,9,FALSE))</f>
        <v>1800</v>
      </c>
      <c r="H4" s="43">
        <f>IF(VLOOKUP($A4,Cost_Estimates!$A$3:$AB$189,20,FALSE)="","",VLOOKUP($A4,Cost_Estimates!$A$3:$AB$189,20,FALSE))</f>
        <v>21281000</v>
      </c>
      <c r="I4" s="7">
        <f>IF(VLOOKUP($A4,Cost_Estimates!$A$3:$AB$189,21,FALSE)="","",VLOOKUP($A4,Cost_Estimates!$A$3:$AB$189,21,FALSE))</f>
        <v>0</v>
      </c>
      <c r="J4" s="7">
        <f>IF(VLOOKUP($A4,Cost_Estimates!$A$3:$AB$189,22,FALSE)="","",VLOOKUP($A4,Cost_Estimates!$A$3:$AB$189,22,FALSE))</f>
        <v>2022</v>
      </c>
      <c r="K4" s="7">
        <f>IF(VLOOKUP($A4,Cost_Estimates!$A$3:$AB$189,23,FALSE)="","",VLOOKUP($A4,Cost_Estimates!$A$3:$AB$189,23,FALSE))</f>
        <v>3</v>
      </c>
      <c r="L4" s="7">
        <f>IF(VLOOKUP($A4,Cost_Estimates!$A$3:$AB$189,24,FALSE)="","",VLOOKUP($A4,Cost_Estimates!$A$3:$AB$189,24,FALSE))</f>
        <v>2025</v>
      </c>
      <c r="M4" s="58" t="str">
        <f>IF(VLOOKUP($A4,Cost_Estimates!$A$3:$AB$189,25,FALSE)="","",VLOOKUP($A4,Cost_Estimates!$A$3:$AB$189,25,FALSE))</f>
        <v/>
      </c>
      <c r="N4" s="58" t="str">
        <f>IF(VLOOKUP($A4,Cost_Estimates!$A$3:$AB$189,26,FALSE)="","",VLOOKUP($A4,Cost_Estimates!$A$3:$AB$189,26,FALSE))</f>
        <v/>
      </c>
      <c r="O4" s="14" t="str">
        <f>IF(VLOOKUP($A4,Cost_Estimates!$A$3:$AB$189,27,FALSE)="","",VLOOKUP($A4,Cost_Estimates!$A$3:$AB$189,27,FALSE))</f>
        <v/>
      </c>
      <c r="P4" s="14" t="str">
        <f>IF(VLOOKUP($A4,Cost_Estimates!$A$3:$AB$189,28,FALSE)="","",VLOOKUP($A4,Cost_Estimates!$A$3:$AB$189,28,FALSE))</f>
        <v/>
      </c>
    </row>
    <row r="5" spans="1:16" ht="60.6" customHeight="1" x14ac:dyDescent="0.25">
      <c r="A5" s="14" t="s">
        <v>377</v>
      </c>
      <c r="B5" s="14" t="str">
        <f>IF(VLOOKUP($A5,Cost_Estimates!$A$3:$AB$189,2,FALSE)="","",VLOOKUP($A5,Cost_Estimates!$A$3:$AB$189,2,FALSE))</f>
        <v>Piopiotahi</v>
      </c>
      <c r="C5" s="11" t="str">
        <f>IF(VLOOKUP($A5,Cost_Estimates!$A$3:$AB$189,4,FALSE)="","",VLOOKUP($A5,Cost_Estimates!$A$3:$AB$189,4,FALSE))</f>
        <v>Visitor Accomodation</v>
      </c>
      <c r="D5" s="14" t="str">
        <f>IF(VLOOKUP($A5,Cost_Estimates!$A$3:$AB$189,5,FALSE)="","",VLOOKUP($A5,Cost_Estimates!$A$3:$AB$189,5,FALSE))</f>
        <v>Accomodation - Visitors</v>
      </c>
      <c r="E5" s="11" t="str">
        <f>IF(VLOOKUP($A5,Cost_Estimates!$A$3:$AB$189,6,FALSE)="","",VLOOKUP($A5,Cost_Estimates!$A$3:$AB$189,6,FALSE))</f>
        <v>100 bed accommodation targetting overnight stays, styled as a 3 Star Hotel, resilient to withstand extreme events and act as a refuge.</v>
      </c>
      <c r="F5" s="14" t="str">
        <f>IF(VLOOKUP($A5,Cost_Estimates!$A$3:$AB$189,7,FALSE)="","",VLOOKUP($A5,Cost_Estimates!$A$3:$AB$189,7,FALSE))</f>
        <v>m2</v>
      </c>
      <c r="G5" s="45">
        <f>IF(VLOOKUP($A5,Cost_Estimates!$A$3:$AB$189,9,FALSE)="","",VLOOKUP($A5,Cost_Estimates!$A$3:$AB$189,9,FALSE))</f>
        <v>1540</v>
      </c>
      <c r="H5" s="43">
        <f>IF(VLOOKUP($A5,Cost_Estimates!$A$3:$AB$189,20,FALSE)="","",VLOOKUP($A5,Cost_Estimates!$A$3:$AB$189,20,FALSE))</f>
        <v>21120000</v>
      </c>
      <c r="I5" s="7" t="str">
        <f>IF(VLOOKUP($A5,Cost_Estimates!$A$3:$AB$189,21,FALSE)="","",VLOOKUP($A5,Cost_Estimates!$A$3:$AB$189,21,FALSE))</f>
        <v/>
      </c>
      <c r="J5" s="7" t="str">
        <f>IF(VLOOKUP($A5,Cost_Estimates!$A$3:$AB$189,22,FALSE)="","",VLOOKUP($A5,Cost_Estimates!$A$3:$AB$189,22,FALSE))</f>
        <v/>
      </c>
      <c r="K5" s="7" t="str">
        <f>IF(VLOOKUP($A5,Cost_Estimates!$A$3:$AB$189,23,FALSE)="","",VLOOKUP($A5,Cost_Estimates!$A$3:$AB$189,23,FALSE))</f>
        <v/>
      </c>
      <c r="L5" s="7" t="str">
        <f>IF(VLOOKUP($A5,Cost_Estimates!$A$3:$AB$189,24,FALSE)="","",VLOOKUP($A5,Cost_Estimates!$A$3:$AB$189,24,FALSE))</f>
        <v/>
      </c>
      <c r="M5" s="58" t="str">
        <f>IF(VLOOKUP($A5,Cost_Estimates!$A$3:$AB$189,25,FALSE)="","",VLOOKUP($A5,Cost_Estimates!$A$3:$AB$189,25,FALSE))</f>
        <v/>
      </c>
      <c r="N5" s="58" t="str">
        <f>IF(VLOOKUP($A5,Cost_Estimates!$A$3:$AB$189,26,FALSE)="","",VLOOKUP($A5,Cost_Estimates!$A$3:$AB$189,26,FALSE))</f>
        <v/>
      </c>
      <c r="O5" s="14" t="str">
        <f>IF(VLOOKUP($A5,Cost_Estimates!$A$3:$AB$189,27,FALSE)="","",VLOOKUP($A5,Cost_Estimates!$A$3:$AB$189,27,FALSE))</f>
        <v/>
      </c>
      <c r="P5" s="14" t="str">
        <f>IF(VLOOKUP($A5,Cost_Estimates!$A$3:$AB$189,28,FALSE)="","",VLOOKUP($A5,Cost_Estimates!$A$3:$AB$189,28,FALSE))</f>
        <v/>
      </c>
    </row>
    <row r="6" spans="1:16" ht="60.6" customHeight="1" x14ac:dyDescent="0.25">
      <c r="A6" s="14" t="s">
        <v>378</v>
      </c>
      <c r="B6" s="14" t="str">
        <f>IF(VLOOKUP($A6,Cost_Estimates!$A$3:$AB$189,2,FALSE)="","",VLOOKUP($A6,Cost_Estimates!$A$3:$AB$189,2,FALSE))</f>
        <v>Piopiotahi</v>
      </c>
      <c r="C6" s="11" t="str">
        <f>IF(VLOOKUP($A6,Cost_Estimates!$A$3:$AB$189,4,FALSE)="","",VLOOKUP($A6,Cost_Estimates!$A$3:$AB$189,4,FALSE))</f>
        <v>Staff Accomodation</v>
      </c>
      <c r="D6" s="14" t="str">
        <f>IF(VLOOKUP($A6,Cost_Estimates!$A$3:$AB$189,5,FALSE)="","",VLOOKUP($A6,Cost_Estimates!$A$3:$AB$189,5,FALSE))</f>
        <v>Accomodation - Staff</v>
      </c>
      <c r="E6" s="11" t="str">
        <f>IF(VLOOKUP($A6,Cost_Estimates!$A$3:$AB$189,6,FALSE)="","",VLOOKUP($A6,Cost_Estimates!$A$3:$AB$189,6,FALSE))</f>
        <v>280-320 bed accommodation for staff, some single units and some shared rooms, resilient to withstand extreme events and act as a refuge.</v>
      </c>
      <c r="F6" s="14" t="str">
        <f>IF(VLOOKUP($A6,Cost_Estimates!$A$3:$AB$189,7,FALSE)="","",VLOOKUP($A6,Cost_Estimates!$A$3:$AB$189,7,FALSE))</f>
        <v>m2</v>
      </c>
      <c r="G6" s="45">
        <f>IF(VLOOKUP($A6,Cost_Estimates!$A$3:$AB$189,9,FALSE)="","",VLOOKUP($A6,Cost_Estimates!$A$3:$AB$189,9,FALSE))</f>
        <v>5100</v>
      </c>
      <c r="H6" s="43">
        <f>IF(VLOOKUP($A6,Cost_Estimates!$A$3:$AB$189,20,FALSE)="","",VLOOKUP($A6,Cost_Estimates!$A$3:$AB$189,20,FALSE))</f>
        <v>43412000</v>
      </c>
      <c r="I6" s="7" t="str">
        <f>IF(VLOOKUP($A6,Cost_Estimates!$A$3:$AB$189,21,FALSE)="","",VLOOKUP($A6,Cost_Estimates!$A$3:$AB$189,21,FALSE))</f>
        <v/>
      </c>
      <c r="J6" s="7" t="str">
        <f>IF(VLOOKUP($A6,Cost_Estimates!$A$3:$AB$189,22,FALSE)="","",VLOOKUP($A6,Cost_Estimates!$A$3:$AB$189,22,FALSE))</f>
        <v/>
      </c>
      <c r="K6" s="7" t="str">
        <f>IF(VLOOKUP($A6,Cost_Estimates!$A$3:$AB$189,23,FALSE)="","",VLOOKUP($A6,Cost_Estimates!$A$3:$AB$189,23,FALSE))</f>
        <v/>
      </c>
      <c r="L6" s="7" t="str">
        <f>IF(VLOOKUP($A6,Cost_Estimates!$A$3:$AB$189,24,FALSE)="","",VLOOKUP($A6,Cost_Estimates!$A$3:$AB$189,24,FALSE))</f>
        <v/>
      </c>
      <c r="M6" s="58" t="str">
        <f>IF(VLOOKUP($A6,Cost_Estimates!$A$3:$AB$189,25,FALSE)="","",VLOOKUP($A6,Cost_Estimates!$A$3:$AB$189,25,FALSE))</f>
        <v/>
      </c>
      <c r="N6" s="58" t="str">
        <f>IF(VLOOKUP($A6,Cost_Estimates!$A$3:$AB$189,26,FALSE)="","",VLOOKUP($A6,Cost_Estimates!$A$3:$AB$189,26,FALSE))</f>
        <v/>
      </c>
      <c r="O6" s="14" t="str">
        <f>IF(VLOOKUP($A6,Cost_Estimates!$A$3:$AB$189,27,FALSE)="","",VLOOKUP($A6,Cost_Estimates!$A$3:$AB$189,27,FALSE))</f>
        <v/>
      </c>
      <c r="P6" s="14" t="str">
        <f>IF(VLOOKUP($A6,Cost_Estimates!$A$3:$AB$189,28,FALSE)="","",VLOOKUP($A6,Cost_Estimates!$A$3:$AB$189,28,FALSE))</f>
        <v/>
      </c>
    </row>
    <row r="7" spans="1:16" ht="60.6" customHeight="1" x14ac:dyDescent="0.25">
      <c r="A7" s="14" t="s">
        <v>381</v>
      </c>
      <c r="B7" s="14" t="str">
        <f>IF(VLOOKUP($A7,Cost_Estimates!$A$3:$AB$189,2,FALSE)="","",VLOOKUP($A7,Cost_Estimates!$A$3:$AB$189,2,FALSE))</f>
        <v>Piopiotahi</v>
      </c>
      <c r="C7" s="11" t="str">
        <f>IF(VLOOKUP($A7,Cost_Estimates!$A$3:$AB$189,4,FALSE)="","",VLOOKUP($A7,Cost_Estimates!$A$3:$AB$189,4,FALSE))</f>
        <v>Marine Centre</v>
      </c>
      <c r="D7" s="14" t="str">
        <f>IF(VLOOKUP($A7,Cost_Estimates!$A$3:$AB$189,5,FALSE)="","",VLOOKUP($A7,Cost_Estimates!$A$3:$AB$189,5,FALSE))</f>
        <v>Marine Interpretive Centre - Piopiotahi</v>
      </c>
      <c r="E7" s="11" t="str">
        <f>IF(VLOOKUP($A7,Cost_Estimates!$A$3:$AB$189,6,FALSE)="","",VLOOKUP($A7,Cost_Estimates!$A$3:$AB$189,6,FALSE))</f>
        <v>Facility developed to enhance visitor interaction. Touch pool, working lab, concourse/display area, back of house. Proposed adjacent to or part of Visitor Experience Hub.</v>
      </c>
      <c r="F7" s="14" t="str">
        <f>IF(VLOOKUP($A7,Cost_Estimates!$A$3:$AB$189,7,FALSE)="","",VLOOKUP($A7,Cost_Estimates!$A$3:$AB$189,7,FALSE))</f>
        <v>m2</v>
      </c>
      <c r="G7" s="45">
        <f>IF(VLOOKUP($A7,Cost_Estimates!$A$3:$AB$189,9,FALSE)="","",VLOOKUP($A7,Cost_Estimates!$A$3:$AB$189,9,FALSE))</f>
        <v>950</v>
      </c>
      <c r="H7" s="43">
        <f>IF(VLOOKUP($A7,Cost_Estimates!$A$3:$AB$189,20,FALSE)="","",VLOOKUP($A7,Cost_Estimates!$A$3:$AB$189,20,FALSE))</f>
        <v>11233000</v>
      </c>
      <c r="I7" s="7" t="str">
        <f>IF(VLOOKUP($A7,Cost_Estimates!$A$3:$AB$189,21,FALSE)="","",VLOOKUP($A7,Cost_Estimates!$A$3:$AB$189,21,FALSE))</f>
        <v/>
      </c>
      <c r="J7" s="7" t="str">
        <f>IF(VLOOKUP($A7,Cost_Estimates!$A$3:$AB$189,22,FALSE)="","",VLOOKUP($A7,Cost_Estimates!$A$3:$AB$189,22,FALSE))</f>
        <v/>
      </c>
      <c r="K7" s="7" t="str">
        <f>IF(VLOOKUP($A7,Cost_Estimates!$A$3:$AB$189,23,FALSE)="","",VLOOKUP($A7,Cost_Estimates!$A$3:$AB$189,23,FALSE))</f>
        <v/>
      </c>
      <c r="L7" s="7" t="str">
        <f>IF(VLOOKUP($A7,Cost_Estimates!$A$3:$AB$189,24,FALSE)="","",VLOOKUP($A7,Cost_Estimates!$A$3:$AB$189,24,FALSE))</f>
        <v/>
      </c>
      <c r="M7" s="58" t="str">
        <f>IF(VLOOKUP($A7,Cost_Estimates!$A$3:$AB$189,25,FALSE)="","",VLOOKUP($A7,Cost_Estimates!$A$3:$AB$189,25,FALSE))</f>
        <v/>
      </c>
      <c r="N7" s="58" t="str">
        <f>IF(VLOOKUP($A7,Cost_Estimates!$A$3:$AB$189,26,FALSE)="","",VLOOKUP($A7,Cost_Estimates!$A$3:$AB$189,26,FALSE))</f>
        <v/>
      </c>
      <c r="O7" s="14" t="str">
        <f>IF(VLOOKUP($A7,Cost_Estimates!$A$3:$AB$189,27,FALSE)="","",VLOOKUP($A7,Cost_Estimates!$A$3:$AB$189,27,FALSE))</f>
        <v/>
      </c>
      <c r="P7" s="14" t="str">
        <f>IF(VLOOKUP($A7,Cost_Estimates!$A$3:$AB$189,28,FALSE)="","",VLOOKUP($A7,Cost_Estimates!$A$3:$AB$189,28,FALSE))</f>
        <v/>
      </c>
    </row>
    <row r="8" spans="1:16" ht="60.6" customHeight="1" x14ac:dyDescent="0.25">
      <c r="A8" s="14" t="s">
        <v>384</v>
      </c>
      <c r="B8" s="14" t="str">
        <f>IF(VLOOKUP($A8,Cost_Estimates!$A$3:$AB$189,2,FALSE)="","",VLOOKUP($A8,Cost_Estimates!$A$3:$AB$189,2,FALSE))</f>
        <v>Piopiotahi</v>
      </c>
      <c r="C8" s="11" t="str">
        <f>IF(VLOOKUP($A8,Cost_Estimates!$A$3:$AB$189,4,FALSE)="","",VLOOKUP($A8,Cost_Estimates!$A$3:$AB$189,4,FALSE))</f>
        <v>Staff Accomodation</v>
      </c>
      <c r="D8" s="14" t="str">
        <f>IF(VLOOKUP($A8,Cost_Estimates!$A$3:$AB$189,5,FALSE)="","",VLOOKUP($A8,Cost_Estimates!$A$3:$AB$189,5,FALSE))</f>
        <v>Deconstruction - Staff Accommodation</v>
      </c>
      <c r="E8" s="11" t="str">
        <f>IF(VLOOKUP($A8,Cost_Estimates!$A$3:$AB$189,6,FALSE)="","",VLOOKUP($A8,Cost_Estimates!$A$3:$AB$189,6,FALSE))</f>
        <v>Removal of Existing Housing and Staff accommodation in preparation for new infrastructure</v>
      </c>
      <c r="F8" s="14" t="str">
        <f>IF(VLOOKUP($A8,Cost_Estimates!$A$3:$AB$189,7,FALSE)="","",VLOOKUP($A8,Cost_Estimates!$A$3:$AB$189,7,FALSE))</f>
        <v>m2</v>
      </c>
      <c r="G8" s="45">
        <f>IF(VLOOKUP($A8,Cost_Estimates!$A$3:$AB$189,9,FALSE)="","",VLOOKUP($A8,Cost_Estimates!$A$3:$AB$189,9,FALSE))</f>
        <v>2850</v>
      </c>
      <c r="H8" s="43">
        <f>IF(VLOOKUP($A8,Cost_Estimates!$A$3:$AB$189,20,FALSE)="","",VLOOKUP($A8,Cost_Estimates!$A$3:$AB$189,20,FALSE))</f>
        <v>858000</v>
      </c>
      <c r="I8" s="7">
        <f>IF(VLOOKUP($A8,Cost_Estimates!$A$3:$AB$189,21,FALSE)="","",VLOOKUP($A8,Cost_Estimates!$A$3:$AB$189,21,FALSE))</f>
        <v>17</v>
      </c>
      <c r="J8" s="7">
        <f>IF(VLOOKUP($A8,Cost_Estimates!$A$3:$AB$189,22,FALSE)="","",VLOOKUP($A8,Cost_Estimates!$A$3:$AB$189,22,FALSE))</f>
        <v>2039</v>
      </c>
      <c r="K8" s="7">
        <f>IF(VLOOKUP($A8,Cost_Estimates!$A$3:$AB$189,23,FALSE)="","",VLOOKUP($A8,Cost_Estimates!$A$3:$AB$189,23,FALSE))</f>
        <v>1</v>
      </c>
      <c r="L8" s="7">
        <f>IF(VLOOKUP($A8,Cost_Estimates!$A$3:$AB$189,24,FALSE)="","",VLOOKUP($A8,Cost_Estimates!$A$3:$AB$189,24,FALSE))</f>
        <v>2040</v>
      </c>
      <c r="M8" s="58" t="str">
        <f>IF(VLOOKUP($A8,Cost_Estimates!$A$3:$AB$189,25,FALSE)="","",VLOOKUP($A8,Cost_Estimates!$A$3:$AB$189,25,FALSE))</f>
        <v>As funding permits, requires new staff accommodation to be built</v>
      </c>
      <c r="N8" s="58" t="str">
        <f>IF(VLOOKUP($A8,Cost_Estimates!$A$3:$AB$189,26,FALSE)="","",VLOOKUP($A8,Cost_Estimates!$A$3:$AB$189,26,FALSE))</f>
        <v/>
      </c>
      <c r="O8" s="14" t="str">
        <f>IF(VLOOKUP($A8,Cost_Estimates!$A$3:$AB$189,27,FALSE)="","",VLOOKUP($A8,Cost_Estimates!$A$3:$AB$189,27,FALSE))</f>
        <v/>
      </c>
      <c r="P8" s="14" t="str">
        <f>IF(VLOOKUP($A8,Cost_Estimates!$A$3:$AB$189,28,FALSE)="","",VLOOKUP($A8,Cost_Estimates!$A$3:$AB$189,28,FALSE))</f>
        <v/>
      </c>
    </row>
    <row r="9" spans="1:16" ht="60.6" customHeight="1" x14ac:dyDescent="0.25">
      <c r="A9" s="14" t="s">
        <v>379</v>
      </c>
      <c r="B9" s="14" t="str">
        <f>IF(VLOOKUP($A9,Cost_Estimates!$A$3:$AB$189,2,FALSE)="","",VLOOKUP($A9,Cost_Estimates!$A$3:$AB$189,2,FALSE))</f>
        <v>Piopiotahi</v>
      </c>
      <c r="C9" s="11" t="str">
        <f>IF(VLOOKUP($A9,Cost_Estimates!$A$3:$AB$189,4,FALSE)="","",VLOOKUP($A9,Cost_Estimates!$A$3:$AB$189,4,FALSE))</f>
        <v xml:space="preserve">Arrival </v>
      </c>
      <c r="D9" s="14" t="str">
        <f>IF(VLOOKUP($A9,Cost_Estimates!$A$3:$AB$189,5,FALSE)="","",VLOOKUP($A9,Cost_Estimates!$A$3:$AB$189,5,FALSE))</f>
        <v>Structures - Bus Stop - Piopiotahi arrival</v>
      </c>
      <c r="E9" s="11" t="str">
        <f>IF(VLOOKUP($A9,Cost_Estimates!$A$3:$AB$189,6,FALSE)="","",VLOOKUP($A9,Cost_Estimates!$A$3:$AB$189,6,FALSE))</f>
        <v xml:space="preserve">Shelter / Refuge style of development acting as an arrival point for buses. Located a short distance from the Visitor Experience Hub </v>
      </c>
      <c r="F9" s="14" t="str">
        <f>IF(VLOOKUP($A9,Cost_Estimates!$A$3:$AB$189,7,FALSE)="","",VLOOKUP($A9,Cost_Estimates!$A$3:$AB$189,7,FALSE))</f>
        <v>no.</v>
      </c>
      <c r="G9" s="45">
        <f>IF(VLOOKUP($A9,Cost_Estimates!$A$3:$AB$189,9,FALSE)="","",VLOOKUP($A9,Cost_Estimates!$A$3:$AB$189,9,FALSE))</f>
        <v>1</v>
      </c>
      <c r="H9" s="43">
        <f>IF(VLOOKUP($A9,Cost_Estimates!$A$3:$AB$189,20,FALSE)="","",VLOOKUP($A9,Cost_Estimates!$A$3:$AB$189,20,FALSE))</f>
        <v>717000</v>
      </c>
      <c r="I9" s="7">
        <f>IF(VLOOKUP($A9,Cost_Estimates!$A$3:$AB$189,21,FALSE)="","",VLOOKUP($A9,Cost_Estimates!$A$3:$AB$189,21,FALSE))</f>
        <v>0</v>
      </c>
      <c r="J9" s="7">
        <f>IF(VLOOKUP($A9,Cost_Estimates!$A$3:$AB$189,22,FALSE)="","",VLOOKUP($A9,Cost_Estimates!$A$3:$AB$189,22,FALSE))</f>
        <v>2022</v>
      </c>
      <c r="K9" s="7">
        <f>IF(VLOOKUP($A9,Cost_Estimates!$A$3:$AB$189,23,FALSE)="","",VLOOKUP($A9,Cost_Estimates!$A$3:$AB$189,23,FALSE))</f>
        <v>2</v>
      </c>
      <c r="L9" s="7">
        <f>IF(VLOOKUP($A9,Cost_Estimates!$A$3:$AB$189,24,FALSE)="","",VLOOKUP($A9,Cost_Estimates!$A$3:$AB$189,24,FALSE))</f>
        <v>2024</v>
      </c>
      <c r="M9" s="58" t="str">
        <f>IF(VLOOKUP($A9,Cost_Estimates!$A$3:$AB$189,25,FALSE)="","",VLOOKUP($A9,Cost_Estimates!$A$3:$AB$189,25,FALSE))</f>
        <v>Base Option Design Yr 1, Construct Yr 2</v>
      </c>
      <c r="N9" s="58" t="str">
        <f>IF(VLOOKUP($A9,Cost_Estimates!$A$3:$AB$189,26,FALSE)="","",VLOOKUP($A9,Cost_Estimates!$A$3:$AB$189,26,FALSE))</f>
        <v/>
      </c>
      <c r="O9" s="14" t="str">
        <f>IF(VLOOKUP($A9,Cost_Estimates!$A$3:$AB$189,27,FALSE)="","",VLOOKUP($A9,Cost_Estimates!$A$3:$AB$189,27,FALSE))</f>
        <v/>
      </c>
      <c r="P9" s="14" t="str">
        <f>IF(VLOOKUP($A9,Cost_Estimates!$A$3:$AB$189,28,FALSE)="","",VLOOKUP($A9,Cost_Estimates!$A$3:$AB$189,28,FALSE))</f>
        <v/>
      </c>
    </row>
    <row r="10" spans="1:16" ht="60.6" customHeight="1" x14ac:dyDescent="0.25">
      <c r="A10" s="14" t="s">
        <v>380</v>
      </c>
      <c r="B10" s="14" t="str">
        <f>IF(VLOOKUP($A10,Cost_Estimates!$A$3:$AB$189,2,FALSE)="","",VLOOKUP($A10,Cost_Estimates!$A$3:$AB$189,2,FALSE))</f>
        <v>Piopiotahi</v>
      </c>
      <c r="C10" s="11" t="str">
        <f>IF(VLOOKUP($A10,Cost_Estimates!$A$3:$AB$189,4,FALSE)="","",VLOOKUP($A10,Cost_Estimates!$A$3:$AB$189,4,FALSE))</f>
        <v xml:space="preserve">Arrival </v>
      </c>
      <c r="D10" s="14" t="str">
        <f>IF(VLOOKUP($A10,Cost_Estimates!$A$3:$AB$189,5,FALSE)="","",VLOOKUP($A10,Cost_Estimates!$A$3:$AB$189,5,FALSE))</f>
        <v>Structures - Covered Walkway - Piopiotahi arrival</v>
      </c>
      <c r="E10" s="11" t="str">
        <f>IF(VLOOKUP($A10,Cost_Estimates!$A$3:$AB$189,6,FALSE)="","",VLOOKUP($A10,Cost_Estimates!$A$3:$AB$189,6,FALSE))</f>
        <v>Covered Walkway from Bus Arrival to Visitor Experience Hub</v>
      </c>
      <c r="F10" s="14" t="str">
        <f>IF(VLOOKUP($A10,Cost_Estimates!$A$3:$AB$189,7,FALSE)="","",VLOOKUP($A10,Cost_Estimates!$A$3:$AB$189,7,FALSE))</f>
        <v>m</v>
      </c>
      <c r="G10" s="45">
        <f>IF(VLOOKUP($A10,Cost_Estimates!$A$3:$AB$189,9,FALSE)="","",VLOOKUP($A10,Cost_Estimates!$A$3:$AB$189,9,FALSE))</f>
        <v>170</v>
      </c>
      <c r="H10" s="43">
        <f>IF(VLOOKUP($A10,Cost_Estimates!$A$3:$AB$189,20,FALSE)="","",VLOOKUP($A10,Cost_Estimates!$A$3:$AB$189,20,FALSE))</f>
        <v>650000</v>
      </c>
      <c r="I10" s="7">
        <f>IF(VLOOKUP($A10,Cost_Estimates!$A$3:$AB$189,21,FALSE)="","",VLOOKUP($A10,Cost_Estimates!$A$3:$AB$189,21,FALSE))</f>
        <v>0</v>
      </c>
      <c r="J10" s="7">
        <f>IF(VLOOKUP($A10,Cost_Estimates!$A$3:$AB$189,22,FALSE)="","",VLOOKUP($A10,Cost_Estimates!$A$3:$AB$189,22,FALSE))</f>
        <v>2022</v>
      </c>
      <c r="K10" s="7">
        <f>IF(VLOOKUP($A10,Cost_Estimates!$A$3:$AB$189,23,FALSE)="","",VLOOKUP($A10,Cost_Estimates!$A$3:$AB$189,23,FALSE))</f>
        <v>2</v>
      </c>
      <c r="L10" s="7">
        <f>IF(VLOOKUP($A10,Cost_Estimates!$A$3:$AB$189,24,FALSE)="","",VLOOKUP($A10,Cost_Estimates!$A$3:$AB$189,24,FALSE))</f>
        <v>2024</v>
      </c>
      <c r="M10" s="58" t="str">
        <f>IF(VLOOKUP($A10,Cost_Estimates!$A$3:$AB$189,25,FALSE)="","",VLOOKUP($A10,Cost_Estimates!$A$3:$AB$189,25,FALSE))</f>
        <v>Base Option Design Yr 1, Construct Yr 2</v>
      </c>
      <c r="N10" s="58" t="str">
        <f>IF(VLOOKUP($A10,Cost_Estimates!$A$3:$AB$189,26,FALSE)="","",VLOOKUP($A10,Cost_Estimates!$A$3:$AB$189,26,FALSE))</f>
        <v/>
      </c>
      <c r="O10" s="14" t="str">
        <f>IF(VLOOKUP($A10,Cost_Estimates!$A$3:$AB$189,27,FALSE)="","",VLOOKUP($A10,Cost_Estimates!$A$3:$AB$189,27,FALSE))</f>
        <v/>
      </c>
      <c r="P10" s="14" t="str">
        <f>IF(VLOOKUP($A10,Cost_Estimates!$A$3:$AB$189,28,FALSE)="","",VLOOKUP($A10,Cost_Estimates!$A$3:$AB$189,28,FALSE))</f>
        <v/>
      </c>
    </row>
    <row r="11" spans="1:16" ht="60.6" customHeight="1" x14ac:dyDescent="0.25">
      <c r="A11" s="14" t="s">
        <v>385</v>
      </c>
      <c r="B11" s="14" t="str">
        <f>IF(VLOOKUP($A11,Cost_Estimates!$A$3:$AB$189,2,FALSE)="","",VLOOKUP($A11,Cost_Estimates!$A$3:$AB$189,2,FALSE))</f>
        <v>Piopiotahi</v>
      </c>
      <c r="C11" s="11" t="str">
        <f>IF(VLOOKUP($A11,Cost_Estimates!$A$3:$AB$189,4,FALSE)="","",VLOOKUP($A11,Cost_Estimates!$A$3:$AB$189,4,FALSE))</f>
        <v>Road Realignment</v>
      </c>
      <c r="D11" s="14" t="str">
        <f>IF(VLOOKUP($A11,Cost_Estimates!$A$3:$AB$189,5,FALSE)="","",VLOOKUP($A11,Cost_Estimates!$A$3:$AB$189,5,FALSE))</f>
        <v>Pavements - Realignment (Arrival)</v>
      </c>
      <c r="E11" s="11" t="str">
        <f>IF(VLOOKUP($A11,Cost_Estimates!$A$3:$AB$189,6,FALSE)="","",VLOOKUP($A11,Cost_Estimates!$A$3:$AB$189,6,FALSE))</f>
        <v>New access into Piopiotahi established to bring the road (as a one way system) onto the alignment of the existing taxiway</v>
      </c>
      <c r="F11" s="14" t="str">
        <f>IF(VLOOKUP($A11,Cost_Estimates!$A$3:$AB$189,7,FALSE)="","",VLOOKUP($A11,Cost_Estimates!$A$3:$AB$189,7,FALSE))</f>
        <v>m2</v>
      </c>
      <c r="G11" s="45">
        <f>IF(VLOOKUP($A11,Cost_Estimates!$A$3:$AB$189,9,FALSE)="","",VLOOKUP($A11,Cost_Estimates!$A$3:$AB$189,9,FALSE))</f>
        <v>500</v>
      </c>
      <c r="H11" s="43">
        <f>IF(VLOOKUP($A11,Cost_Estimates!$A$3:$AB$189,20,FALSE)="","",VLOOKUP($A11,Cost_Estimates!$A$3:$AB$189,20,FALSE))</f>
        <v>1348000</v>
      </c>
      <c r="I11" s="7">
        <f>IF(VLOOKUP($A11,Cost_Estimates!$A$3:$AB$189,21,FALSE)="","",VLOOKUP($A11,Cost_Estimates!$A$3:$AB$189,21,FALSE))</f>
        <v>0</v>
      </c>
      <c r="J11" s="7">
        <f>IF(VLOOKUP($A11,Cost_Estimates!$A$3:$AB$189,22,FALSE)="","",VLOOKUP($A11,Cost_Estimates!$A$3:$AB$189,22,FALSE))</f>
        <v>2022</v>
      </c>
      <c r="K11" s="7">
        <f>IF(VLOOKUP($A11,Cost_Estimates!$A$3:$AB$189,23,FALSE)="","",VLOOKUP($A11,Cost_Estimates!$A$3:$AB$189,23,FALSE))</f>
        <v>3</v>
      </c>
      <c r="L11" s="7">
        <f>IF(VLOOKUP($A11,Cost_Estimates!$A$3:$AB$189,24,FALSE)="","",VLOOKUP($A11,Cost_Estimates!$A$3:$AB$189,24,FALSE))</f>
        <v>2025</v>
      </c>
      <c r="M11" s="58" t="str">
        <f>IF(VLOOKUP($A11,Cost_Estimates!$A$3:$AB$189,25,FALSE)="","",VLOOKUP($A11,Cost_Estimates!$A$3:$AB$189,25,FALSE))</f>
        <v>Changed alignment for moving from two-way to one way for arrival access</v>
      </c>
      <c r="N11" s="58" t="str">
        <f>IF(VLOOKUP($A11,Cost_Estimates!$A$3:$AB$189,26,FALSE)="","",VLOOKUP($A11,Cost_Estimates!$A$3:$AB$189,26,FALSE))</f>
        <v/>
      </c>
      <c r="O11" s="14" t="str">
        <f>IF(VLOOKUP($A11,Cost_Estimates!$A$3:$AB$189,27,FALSE)="","",VLOOKUP($A11,Cost_Estimates!$A$3:$AB$189,27,FALSE))</f>
        <v/>
      </c>
      <c r="P11" s="14" t="str">
        <f>IF(VLOOKUP($A11,Cost_Estimates!$A$3:$AB$189,28,FALSE)="","",VLOOKUP($A11,Cost_Estimates!$A$3:$AB$189,28,FALSE))</f>
        <v/>
      </c>
    </row>
    <row r="12" spans="1:16" ht="60.6" customHeight="1" x14ac:dyDescent="0.25">
      <c r="A12" s="14" t="s">
        <v>387</v>
      </c>
      <c r="B12" s="14" t="str">
        <f>IF(VLOOKUP($A12,Cost_Estimates!$A$3:$AB$189,2,FALSE)="","",VLOOKUP($A12,Cost_Estimates!$A$3:$AB$189,2,FALSE))</f>
        <v>Piopiotahi</v>
      </c>
      <c r="C12" s="11" t="str">
        <f>IF(VLOOKUP($A12,Cost_Estimates!$A$3:$AB$189,4,FALSE)="","",VLOOKUP($A12,Cost_Estimates!$A$3:$AB$189,4,FALSE))</f>
        <v>Visitor Hub</v>
      </c>
      <c r="D12" s="14" t="str">
        <f>IF(VLOOKUP($A12,Cost_Estimates!$A$3:$AB$189,5,FALSE)="","",VLOOKUP($A12,Cost_Estimates!$A$3:$AB$189,5,FALSE))</f>
        <v>Landscaping - Visitor Experience Hub - Piopiotahi</v>
      </c>
      <c r="E12" s="11" t="str">
        <f>IF(VLOOKUP($A12,Cost_Estimates!$A$3:$AB$189,6,FALSE)="","",VLOOKUP($A12,Cost_Estimates!$A$3:$AB$189,6,FALSE))</f>
        <v>Water front development - to provide an enhanced enviroment including boardwalks, paving and landscaping surrounding the Visitor Hub</v>
      </c>
      <c r="F12" s="14" t="str">
        <f>IF(VLOOKUP($A12,Cost_Estimates!$A$3:$AB$189,7,FALSE)="","",VLOOKUP($A12,Cost_Estimates!$A$3:$AB$189,7,FALSE))</f>
        <v>m2</v>
      </c>
      <c r="G12" s="45">
        <f>IF(VLOOKUP($A12,Cost_Estimates!$A$3:$AB$189,9,FALSE)="","",VLOOKUP($A12,Cost_Estimates!$A$3:$AB$189,9,FALSE))</f>
        <v>10000</v>
      </c>
      <c r="H12" s="43">
        <f>IF(VLOOKUP($A12,Cost_Estimates!$A$3:$AB$189,20,FALSE)="","",VLOOKUP($A12,Cost_Estimates!$A$3:$AB$189,20,FALSE))</f>
        <v>5192000</v>
      </c>
      <c r="I12" s="7" t="str">
        <f>IF(VLOOKUP($A12,Cost_Estimates!$A$3:$AB$189,21,FALSE)="","",VLOOKUP($A12,Cost_Estimates!$A$3:$AB$189,21,FALSE))</f>
        <v/>
      </c>
      <c r="J12" s="7" t="str">
        <f>IF(VLOOKUP($A12,Cost_Estimates!$A$3:$AB$189,22,FALSE)="","",VLOOKUP($A12,Cost_Estimates!$A$3:$AB$189,22,FALSE))</f>
        <v/>
      </c>
      <c r="K12" s="7" t="str">
        <f>IF(VLOOKUP($A12,Cost_Estimates!$A$3:$AB$189,23,FALSE)="","",VLOOKUP($A12,Cost_Estimates!$A$3:$AB$189,23,FALSE))</f>
        <v/>
      </c>
      <c r="L12" s="7" t="str">
        <f>IF(VLOOKUP($A12,Cost_Estimates!$A$3:$AB$189,24,FALSE)="","",VLOOKUP($A12,Cost_Estimates!$A$3:$AB$189,24,FALSE))</f>
        <v/>
      </c>
      <c r="M12" s="58" t="str">
        <f>IF(VLOOKUP($A12,Cost_Estimates!$A$3:$AB$189,25,FALSE)="","",VLOOKUP($A12,Cost_Estimates!$A$3:$AB$189,25,FALSE))</f>
        <v/>
      </c>
      <c r="N12" s="58" t="str">
        <f>IF(VLOOKUP($A12,Cost_Estimates!$A$3:$AB$189,26,FALSE)="","",VLOOKUP($A12,Cost_Estimates!$A$3:$AB$189,26,FALSE))</f>
        <v/>
      </c>
      <c r="O12" s="14" t="str">
        <f>IF(VLOOKUP($A12,Cost_Estimates!$A$3:$AB$189,27,FALSE)="","",VLOOKUP($A12,Cost_Estimates!$A$3:$AB$189,27,FALSE))</f>
        <v/>
      </c>
      <c r="P12" s="14" t="str">
        <f>IF(VLOOKUP($A12,Cost_Estimates!$A$3:$AB$189,28,FALSE)="","",VLOOKUP($A12,Cost_Estimates!$A$3:$AB$189,28,FALSE))</f>
        <v/>
      </c>
    </row>
    <row r="13" spans="1:16" ht="60.6" customHeight="1" x14ac:dyDescent="0.25">
      <c r="A13" s="14" t="s">
        <v>386</v>
      </c>
      <c r="B13" s="14" t="str">
        <f>IF(VLOOKUP($A13,Cost_Estimates!$A$3:$AB$189,2,FALSE)="","",VLOOKUP($A13,Cost_Estimates!$A$3:$AB$189,2,FALSE))</f>
        <v>Piopiotahi</v>
      </c>
      <c r="C13" s="11" t="str">
        <f>IF(VLOOKUP($A13,Cost_Estimates!$A$3:$AB$189,4,FALSE)="","",VLOOKUP($A13,Cost_Estimates!$A$3:$AB$189,4,FALSE))</f>
        <v>Visitor Hub</v>
      </c>
      <c r="D13" s="14" t="str">
        <f>IF(VLOOKUP($A13,Cost_Estimates!$A$3:$AB$189,5,FALSE)="","",VLOOKUP($A13,Cost_Estimates!$A$3:$AB$189,5,FALSE))</f>
        <v>Deconstruction - Foreshore Carparking</v>
      </c>
      <c r="E13" s="11" t="str">
        <f>IF(VLOOKUP($A13,Cost_Estimates!$A$3:$AB$189,6,FALSE)="","",VLOOKUP($A13,Cost_Estimates!$A$3:$AB$189,6,FALSE))</f>
        <v>Removal of existing carparking and pavement on the foreshore. Establish landscaping features / plantings in its place.</v>
      </c>
      <c r="F13" s="14" t="str">
        <f>IF(VLOOKUP($A13,Cost_Estimates!$A$3:$AB$189,7,FALSE)="","",VLOOKUP($A13,Cost_Estimates!$A$3:$AB$189,7,FALSE))</f>
        <v>m2</v>
      </c>
      <c r="G13" s="45">
        <f>IF(VLOOKUP($A13,Cost_Estimates!$A$3:$AB$189,9,FALSE)="","",VLOOKUP($A13,Cost_Estimates!$A$3:$AB$189,9,FALSE))</f>
        <v>5700</v>
      </c>
      <c r="H13" s="43">
        <f>IF(VLOOKUP($A13,Cost_Estimates!$A$3:$AB$189,20,FALSE)="","",VLOOKUP($A13,Cost_Estimates!$A$3:$AB$189,20,FALSE))</f>
        <v>1606000</v>
      </c>
      <c r="I13" s="7">
        <f>IF(VLOOKUP($A13,Cost_Estimates!$A$3:$AB$189,21,FALSE)="","",VLOOKUP($A13,Cost_Estimates!$A$3:$AB$189,21,FALSE))</f>
        <v>2</v>
      </c>
      <c r="J13" s="7">
        <f>IF(VLOOKUP($A13,Cost_Estimates!$A$3:$AB$189,22,FALSE)="","",VLOOKUP($A13,Cost_Estimates!$A$3:$AB$189,22,FALSE))</f>
        <v>2024</v>
      </c>
      <c r="K13" s="7">
        <f>IF(VLOOKUP($A13,Cost_Estimates!$A$3:$AB$189,23,FALSE)="","",VLOOKUP($A13,Cost_Estimates!$A$3:$AB$189,23,FALSE))</f>
        <v>1</v>
      </c>
      <c r="L13" s="7">
        <f>IF(VLOOKUP($A13,Cost_Estimates!$A$3:$AB$189,24,FALSE)="","",VLOOKUP($A13,Cost_Estimates!$A$3:$AB$189,24,FALSE))</f>
        <v>2025</v>
      </c>
      <c r="M13" s="58" t="str">
        <f>IF(VLOOKUP($A13,Cost_Estimates!$A$3:$AB$189,25,FALSE)="","",VLOOKUP($A13,Cost_Estimates!$A$3:$AB$189,25,FALSE))</f>
        <v>Delayed start tied into visitor hub development</v>
      </c>
      <c r="N13" s="58" t="str">
        <f>IF(VLOOKUP($A13,Cost_Estimates!$A$3:$AB$189,26,FALSE)="","",VLOOKUP($A13,Cost_Estimates!$A$3:$AB$189,26,FALSE))</f>
        <v/>
      </c>
      <c r="O13" s="14" t="str">
        <f>IF(VLOOKUP($A13,Cost_Estimates!$A$3:$AB$189,27,FALSE)="","",VLOOKUP($A13,Cost_Estimates!$A$3:$AB$189,27,FALSE))</f>
        <v/>
      </c>
      <c r="P13" s="14" t="str">
        <f>IF(VLOOKUP($A13,Cost_Estimates!$A$3:$AB$189,28,FALSE)="","",VLOOKUP($A13,Cost_Estimates!$A$3:$AB$189,28,FALSE))</f>
        <v/>
      </c>
    </row>
    <row r="14" spans="1:16" ht="60.6" customHeight="1" x14ac:dyDescent="0.25">
      <c r="A14" s="14" t="s">
        <v>389</v>
      </c>
      <c r="B14" s="14" t="str">
        <f>IF(VLOOKUP($A14,Cost_Estimates!$A$3:$AB$189,2,FALSE)="","",VLOOKUP($A14,Cost_Estimates!$A$3:$AB$189,2,FALSE))</f>
        <v>Piopiotahi</v>
      </c>
      <c r="C14" s="11" t="str">
        <f>IF(VLOOKUP($A14,Cost_Estimates!$A$3:$AB$189,4,FALSE)="","",VLOOKUP($A14,Cost_Estimates!$A$3:$AB$189,4,FALSE))</f>
        <v>Wastewater</v>
      </c>
      <c r="D14" s="14" t="str">
        <f>IF(VLOOKUP($A14,Cost_Estimates!$A$3:$AB$189,5,FALSE)="","",VLOOKUP($A14,Cost_Estimates!$A$3:$AB$189,5,FALSE))</f>
        <v>Services - Wastewater</v>
      </c>
      <c r="E14" s="11" t="str">
        <f>IF(VLOOKUP($A14,Cost_Estimates!$A$3:$AB$189,6,FALSE)="","",VLOOKUP($A14,Cost_Estimates!$A$3:$AB$189,6,FALSE))</f>
        <v>Allowance for alteration of the existing wastewater network to accommodate the proposed developments within Piopiotahi. Upgrade to the current plant provided for with a higher rate and quality treatment to meet potential revised consent requirements</v>
      </c>
      <c r="F14" s="14" t="str">
        <f>IF(VLOOKUP($A14,Cost_Estimates!$A$3:$AB$189,7,FALSE)="","",VLOOKUP($A14,Cost_Estimates!$A$3:$AB$189,7,FALSE))</f>
        <v/>
      </c>
      <c r="G14" s="45" t="str">
        <f>IF(VLOOKUP($A14,Cost_Estimates!$A$3:$AB$189,9,FALSE)="","",VLOOKUP($A14,Cost_Estimates!$A$3:$AB$189,9,FALSE))</f>
        <v/>
      </c>
      <c r="H14" s="43">
        <f>IF(VLOOKUP($A14,Cost_Estimates!$A$3:$AB$189,20,FALSE)="","",VLOOKUP($A14,Cost_Estimates!$A$3:$AB$189,20,FALSE))</f>
        <v>2250000</v>
      </c>
      <c r="I14" s="7" t="str">
        <f>IF(VLOOKUP($A14,Cost_Estimates!$A$3:$AB$189,21,FALSE)="","",VLOOKUP($A14,Cost_Estimates!$A$3:$AB$189,21,FALSE))</f>
        <v/>
      </c>
      <c r="J14" s="7" t="str">
        <f>IF(VLOOKUP($A14,Cost_Estimates!$A$3:$AB$189,22,FALSE)="","",VLOOKUP($A14,Cost_Estimates!$A$3:$AB$189,22,FALSE))</f>
        <v/>
      </c>
      <c r="K14" s="7" t="str">
        <f>IF(VLOOKUP($A14,Cost_Estimates!$A$3:$AB$189,23,FALSE)="","",VLOOKUP($A14,Cost_Estimates!$A$3:$AB$189,23,FALSE))</f>
        <v/>
      </c>
      <c r="L14" s="7" t="str">
        <f>IF(VLOOKUP($A14,Cost_Estimates!$A$3:$AB$189,24,FALSE)="","",VLOOKUP($A14,Cost_Estimates!$A$3:$AB$189,24,FALSE))</f>
        <v/>
      </c>
      <c r="M14" s="58" t="str">
        <f>IF(VLOOKUP($A14,Cost_Estimates!$A$3:$AB$189,25,FALSE)="","",VLOOKUP($A14,Cost_Estimates!$A$3:$AB$189,25,FALSE))</f>
        <v/>
      </c>
      <c r="N14" s="58" t="str">
        <f>IF(VLOOKUP($A14,Cost_Estimates!$A$3:$AB$189,26,FALSE)="","",VLOOKUP($A14,Cost_Estimates!$A$3:$AB$189,26,FALSE))</f>
        <v/>
      </c>
      <c r="O14" s="14" t="str">
        <f>IF(VLOOKUP($A14,Cost_Estimates!$A$3:$AB$189,27,FALSE)="","",VLOOKUP($A14,Cost_Estimates!$A$3:$AB$189,27,FALSE))</f>
        <v/>
      </c>
      <c r="P14" s="14" t="str">
        <f>IF(VLOOKUP($A14,Cost_Estimates!$A$3:$AB$189,28,FALSE)="","",VLOOKUP($A14,Cost_Estimates!$A$3:$AB$189,28,FALSE))</f>
        <v/>
      </c>
    </row>
    <row r="15" spans="1:16" ht="60.6" customHeight="1" x14ac:dyDescent="0.25">
      <c r="A15" s="14" t="s">
        <v>419</v>
      </c>
      <c r="B15" s="14" t="str">
        <f>IF(VLOOKUP($A15,Cost_Estimates!$A$3:$AB$189,2,FALSE)="","",VLOOKUP($A15,Cost_Estimates!$A$3:$AB$189,2,FALSE))</f>
        <v>Piopiotahi</v>
      </c>
      <c r="C15" s="11" t="str">
        <f>IF(VLOOKUP($A15,Cost_Estimates!$A$3:$AB$189,4,FALSE)="","",VLOOKUP($A15,Cost_Estimates!$A$3:$AB$189,4,FALSE))</f>
        <v>Potable Water</v>
      </c>
      <c r="D15" s="14" t="str">
        <f>IF(VLOOKUP($A15,Cost_Estimates!$A$3:$AB$189,5,FALSE)="","",VLOOKUP($A15,Cost_Estimates!$A$3:$AB$189,5,FALSE))</f>
        <v>Services - Potable Water</v>
      </c>
      <c r="E15" s="11" t="str">
        <f>IF(VLOOKUP($A15,Cost_Estimates!$A$3:$AB$189,6,FALSE)="","",VLOOKUP($A15,Cost_Estimates!$A$3:$AB$189,6,FALSE))</f>
        <v>Allowance for alteration of the existing potable water network to accommodate the proposed developments within Piopiotahi. Increased storage (500m3) provided for.</v>
      </c>
      <c r="F15" s="14" t="str">
        <f>IF(VLOOKUP($A15,Cost_Estimates!$A$3:$AB$189,7,FALSE)="","",VLOOKUP($A15,Cost_Estimates!$A$3:$AB$189,7,FALSE))</f>
        <v/>
      </c>
      <c r="G15" s="45" t="str">
        <f>IF(VLOOKUP($A15,Cost_Estimates!$A$3:$AB$189,9,FALSE)="","",VLOOKUP($A15,Cost_Estimates!$A$3:$AB$189,9,FALSE))</f>
        <v/>
      </c>
      <c r="H15" s="43">
        <f>IF(VLOOKUP($A15,Cost_Estimates!$A$3:$AB$189,20,FALSE)="","",VLOOKUP($A15,Cost_Estimates!$A$3:$AB$189,20,FALSE))</f>
        <v>1603000</v>
      </c>
      <c r="I15" s="7" t="str">
        <f>IF(VLOOKUP($A15,Cost_Estimates!$A$3:$AB$189,21,FALSE)="","",VLOOKUP($A15,Cost_Estimates!$A$3:$AB$189,21,FALSE))</f>
        <v/>
      </c>
      <c r="J15" s="7" t="str">
        <f>IF(VLOOKUP($A15,Cost_Estimates!$A$3:$AB$189,22,FALSE)="","",VLOOKUP($A15,Cost_Estimates!$A$3:$AB$189,22,FALSE))</f>
        <v/>
      </c>
      <c r="K15" s="7" t="str">
        <f>IF(VLOOKUP($A15,Cost_Estimates!$A$3:$AB$189,23,FALSE)="","",VLOOKUP($A15,Cost_Estimates!$A$3:$AB$189,23,FALSE))</f>
        <v/>
      </c>
      <c r="L15" s="7" t="str">
        <f>IF(VLOOKUP($A15,Cost_Estimates!$A$3:$AB$189,24,FALSE)="","",VLOOKUP($A15,Cost_Estimates!$A$3:$AB$189,24,FALSE))</f>
        <v/>
      </c>
      <c r="M15" s="58" t="str">
        <f>IF(VLOOKUP($A15,Cost_Estimates!$A$3:$AB$189,25,FALSE)="","",VLOOKUP($A15,Cost_Estimates!$A$3:$AB$189,25,FALSE))</f>
        <v/>
      </c>
      <c r="N15" s="58" t="str">
        <f>IF(VLOOKUP($A15,Cost_Estimates!$A$3:$AB$189,26,FALSE)="","",VLOOKUP($A15,Cost_Estimates!$A$3:$AB$189,26,FALSE))</f>
        <v/>
      </c>
      <c r="O15" s="14" t="str">
        <f>IF(VLOOKUP($A15,Cost_Estimates!$A$3:$AB$189,27,FALSE)="","",VLOOKUP($A15,Cost_Estimates!$A$3:$AB$189,27,FALSE))</f>
        <v/>
      </c>
      <c r="P15" s="14" t="str">
        <f>IF(VLOOKUP($A15,Cost_Estimates!$A$3:$AB$189,28,FALSE)="","",VLOOKUP($A15,Cost_Estimates!$A$3:$AB$189,28,FALSE))</f>
        <v/>
      </c>
    </row>
    <row r="16" spans="1:16" ht="60.6" customHeight="1" x14ac:dyDescent="0.25">
      <c r="A16" s="14" t="s">
        <v>424</v>
      </c>
      <c r="B16" s="14" t="str">
        <f>IF(VLOOKUP($A16,Cost_Estimates!$A$3:$AB$189,2,FALSE)="","",VLOOKUP($A16,Cost_Estimates!$A$3:$AB$189,2,FALSE))</f>
        <v>Piopiotahi</v>
      </c>
      <c r="C16" s="11" t="str">
        <f>IF(VLOOKUP($A16,Cost_Estimates!$A$3:$AB$189,4,FALSE)="","",VLOOKUP($A16,Cost_Estimates!$A$3:$AB$189,4,FALSE))</f>
        <v>Power</v>
      </c>
      <c r="D16" s="14" t="str">
        <f>IF(VLOOKUP($A16,Cost_Estimates!$A$3:$AB$189,5,FALSE)="","",VLOOKUP($A16,Cost_Estimates!$A$3:$AB$189,5,FALSE))</f>
        <v xml:space="preserve">Services - Power Supply </v>
      </c>
      <c r="E16" s="11" t="str">
        <f>IF(VLOOKUP($A16,Cost_Estimates!$A$3:$AB$189,6,FALSE)="","",VLOOKUP($A16,Cost_Estimates!$A$3:$AB$189,6,FALSE))</f>
        <v xml:space="preserve">Allowance for replacement of the existing turbines and generators (and equipment) to accommodate the proposed developments within Piopiotahi. </v>
      </c>
      <c r="F16" s="14" t="str">
        <f>IF(VLOOKUP($A16,Cost_Estimates!$A$3:$AB$189,7,FALSE)="","",VLOOKUP($A16,Cost_Estimates!$A$3:$AB$189,7,FALSE))</f>
        <v/>
      </c>
      <c r="G16" s="45" t="str">
        <f>IF(VLOOKUP($A16,Cost_Estimates!$A$3:$AB$189,9,FALSE)="","",VLOOKUP($A16,Cost_Estimates!$A$3:$AB$189,9,FALSE))</f>
        <v/>
      </c>
      <c r="H16" s="43">
        <f>IF(VLOOKUP($A16,Cost_Estimates!$A$3:$AB$189,20,FALSE)="","",VLOOKUP($A16,Cost_Estimates!$A$3:$AB$189,20,FALSE))</f>
        <v>4993000</v>
      </c>
      <c r="I16" s="7" t="str">
        <f>IF(VLOOKUP($A16,Cost_Estimates!$A$3:$AB$189,21,FALSE)="","",VLOOKUP($A16,Cost_Estimates!$A$3:$AB$189,21,FALSE))</f>
        <v/>
      </c>
      <c r="J16" s="7" t="str">
        <f>IF(VLOOKUP($A16,Cost_Estimates!$A$3:$AB$189,22,FALSE)="","",VLOOKUP($A16,Cost_Estimates!$A$3:$AB$189,22,FALSE))</f>
        <v/>
      </c>
      <c r="K16" s="7" t="str">
        <f>IF(VLOOKUP($A16,Cost_Estimates!$A$3:$AB$189,23,FALSE)="","",VLOOKUP($A16,Cost_Estimates!$A$3:$AB$189,23,FALSE))</f>
        <v/>
      </c>
      <c r="L16" s="7" t="str">
        <f>IF(VLOOKUP($A16,Cost_Estimates!$A$3:$AB$189,24,FALSE)="","",VLOOKUP($A16,Cost_Estimates!$A$3:$AB$189,24,FALSE))</f>
        <v/>
      </c>
      <c r="M16" s="58" t="str">
        <f>IF(VLOOKUP($A16,Cost_Estimates!$A$3:$AB$189,25,FALSE)="","",VLOOKUP($A16,Cost_Estimates!$A$3:$AB$189,25,FALSE))</f>
        <v/>
      </c>
      <c r="N16" s="58" t="str">
        <f>IF(VLOOKUP($A16,Cost_Estimates!$A$3:$AB$189,26,FALSE)="","",VLOOKUP($A16,Cost_Estimates!$A$3:$AB$189,26,FALSE))</f>
        <v/>
      </c>
      <c r="O16" s="14" t="str">
        <f>IF(VLOOKUP($A16,Cost_Estimates!$A$3:$AB$189,27,FALSE)="","",VLOOKUP($A16,Cost_Estimates!$A$3:$AB$189,27,FALSE))</f>
        <v/>
      </c>
      <c r="P16" s="14" t="str">
        <f>IF(VLOOKUP($A16,Cost_Estimates!$A$3:$AB$189,28,FALSE)="","",VLOOKUP($A16,Cost_Estimates!$A$3:$AB$189,28,FALSE))</f>
        <v/>
      </c>
    </row>
    <row r="17" spans="1:16" ht="60.6" customHeight="1" x14ac:dyDescent="0.25">
      <c r="A17" s="14" t="s">
        <v>431</v>
      </c>
      <c r="B17" s="14" t="str">
        <f>IF(VLOOKUP($A17,Cost_Estimates!$A$3:$AB$189,2,FALSE)="","",VLOOKUP($A17,Cost_Estimates!$A$3:$AB$189,2,FALSE))</f>
        <v>Piopiotahi</v>
      </c>
      <c r="C17" s="11" t="str">
        <f>IF(VLOOKUP($A17,Cost_Estimates!$A$3:$AB$189,4,FALSE)="","",VLOOKUP($A17,Cost_Estimates!$A$3:$AB$189,4,FALSE))</f>
        <v>Visitor Hub</v>
      </c>
      <c r="D17" s="14" t="str">
        <f>IF(VLOOKUP($A17,Cost_Estimates!$A$3:$AB$189,5,FALSE)="","",VLOOKUP($A17,Cost_Estimates!$A$3:$AB$189,5,FALSE))</f>
        <v>Piopiotahi Interpretation</v>
      </c>
      <c r="E17" s="11" t="str">
        <f>IF(VLOOKUP($A17,Cost_Estimates!$A$3:$AB$189,6,FALSE)="","",VLOOKUP($A17,Cost_Estimates!$A$3:$AB$189,6,FALSE))</f>
        <v>Budget allowance for the establishment of interpretive materials throughout Piopiotahi (Signage, Displays, Services, incl. within the hub)</v>
      </c>
      <c r="F17" s="14" t="str">
        <f>IF(VLOOKUP($A17,Cost_Estimates!$A$3:$AB$189,7,FALSE)="","",VLOOKUP($A17,Cost_Estimates!$A$3:$AB$189,7,FALSE))</f>
        <v>no.</v>
      </c>
      <c r="G17" s="45">
        <f>IF(VLOOKUP($A17,Cost_Estimates!$A$3:$AB$189,9,FALSE)="","",VLOOKUP($A17,Cost_Estimates!$A$3:$AB$189,9,FALSE))</f>
        <v>1</v>
      </c>
      <c r="H17" s="43">
        <f>IF(VLOOKUP($A17,Cost_Estimates!$A$3:$AB$189,20,FALSE)="","",VLOOKUP($A17,Cost_Estimates!$A$3:$AB$189,20,FALSE))</f>
        <v>2000000</v>
      </c>
      <c r="I17" s="7">
        <f>IF(VLOOKUP($A17,Cost_Estimates!$A$3:$AB$189,21,FALSE)="","",VLOOKUP($A17,Cost_Estimates!$A$3:$AB$189,21,FALSE))</f>
        <v>0</v>
      </c>
      <c r="J17" s="7">
        <f>IF(VLOOKUP($A17,Cost_Estimates!$A$3:$AB$189,22,FALSE)="","",VLOOKUP($A17,Cost_Estimates!$A$3:$AB$189,22,FALSE))</f>
        <v>2022</v>
      </c>
      <c r="K17" s="7">
        <f>IF(VLOOKUP($A17,Cost_Estimates!$A$3:$AB$189,23,FALSE)="","",VLOOKUP($A17,Cost_Estimates!$A$3:$AB$189,23,FALSE))</f>
        <v>3</v>
      </c>
      <c r="L17" s="7">
        <f>IF(VLOOKUP($A17,Cost_Estimates!$A$3:$AB$189,24,FALSE)="","",VLOOKUP($A17,Cost_Estimates!$A$3:$AB$189,24,FALSE))</f>
        <v>2025</v>
      </c>
      <c r="M17" s="58" t="str">
        <f>IF(VLOOKUP($A17,Cost_Estimates!$A$3:$AB$189,25,FALSE)="","",VLOOKUP($A17,Cost_Estimates!$A$3:$AB$189,25,FALSE))</f>
        <v>Base Option Design Yr 1, Construct Yr 2/3</v>
      </c>
      <c r="N17" s="58" t="str">
        <f>IF(VLOOKUP($A17,Cost_Estimates!$A$3:$AB$189,26,FALSE)="","",VLOOKUP($A17,Cost_Estimates!$A$3:$AB$189,26,FALSE))</f>
        <v/>
      </c>
      <c r="O17" s="14" t="str">
        <f>IF(VLOOKUP($A17,Cost_Estimates!$A$3:$AB$189,27,FALSE)="","",VLOOKUP($A17,Cost_Estimates!$A$3:$AB$189,27,FALSE))</f>
        <v/>
      </c>
      <c r="P17" s="14" t="str">
        <f>IF(VLOOKUP($A17,Cost_Estimates!$A$3:$AB$189,28,FALSE)="","",VLOOKUP($A17,Cost_Estimates!$A$3:$AB$189,28,FALSE))</f>
        <v/>
      </c>
    </row>
    <row r="18" spans="1:16" ht="60.6" customHeight="1" x14ac:dyDescent="0.25">
      <c r="A18" s="14" t="s">
        <v>443</v>
      </c>
      <c r="B18" s="14" t="str">
        <f>IF(VLOOKUP($A18,Cost_Estimates!$A$3:$AB$189,2,FALSE)="","",VLOOKUP($A18,Cost_Estimates!$A$3:$AB$189,2,FALSE))</f>
        <v>Piopiotahi</v>
      </c>
      <c r="C18" s="11" t="str">
        <f>IF(VLOOKUP($A18,Cost_Estimates!$A$3:$AB$189,4,FALSE)="","",VLOOKUP($A18,Cost_Estimates!$A$3:$AB$189,4,FALSE))</f>
        <v>Tracks &amp; observation points</v>
      </c>
      <c r="D18" s="14" t="str">
        <f>IF(VLOOKUP($A18,Cost_Estimates!$A$3:$AB$189,5,FALSE)="","",VLOOKUP($A18,Cost_Estimates!$A$3:$AB$189,5,FALSE))</f>
        <v>Piopiotahi Viewing Deck Walkway</v>
      </c>
      <c r="E18" s="11" t="str">
        <f>IF(VLOOKUP($A18,Cost_Estimates!$A$3:$AB$189,6,FALSE)="","",VLOOKUP($A18,Cost_Estimates!$A$3:$AB$189,6,FALSE))</f>
        <v>Redevelopment of the existing walkway above the hub to including treetop canopy viewing platforms and a link to the Visitor Experience Hub</v>
      </c>
      <c r="F18" s="14" t="str">
        <f>IF(VLOOKUP($A18,Cost_Estimates!$A$3:$AB$189,7,FALSE)="","",VLOOKUP($A18,Cost_Estimates!$A$3:$AB$189,7,FALSE))</f>
        <v/>
      </c>
      <c r="G18" s="45" t="str">
        <f>IF(VLOOKUP($A18,Cost_Estimates!$A$3:$AB$189,9,FALSE)="","",VLOOKUP($A18,Cost_Estimates!$A$3:$AB$189,9,FALSE))</f>
        <v/>
      </c>
      <c r="H18" s="43">
        <f>IF(VLOOKUP($A18,Cost_Estimates!$A$3:$AB$189,20,FALSE)="","",VLOOKUP($A18,Cost_Estimates!$A$3:$AB$189,20,FALSE))</f>
        <v>1341000</v>
      </c>
      <c r="I18" s="7" t="str">
        <f>IF(VLOOKUP($A18,Cost_Estimates!$A$3:$AB$189,21,FALSE)="","",VLOOKUP($A18,Cost_Estimates!$A$3:$AB$189,21,FALSE))</f>
        <v/>
      </c>
      <c r="J18" s="7" t="str">
        <f>IF(VLOOKUP($A18,Cost_Estimates!$A$3:$AB$189,22,FALSE)="","",VLOOKUP($A18,Cost_Estimates!$A$3:$AB$189,22,FALSE))</f>
        <v/>
      </c>
      <c r="K18" s="7" t="str">
        <f>IF(VLOOKUP($A18,Cost_Estimates!$A$3:$AB$189,23,FALSE)="","",VLOOKUP($A18,Cost_Estimates!$A$3:$AB$189,23,FALSE))</f>
        <v/>
      </c>
      <c r="L18" s="7" t="str">
        <f>IF(VLOOKUP($A18,Cost_Estimates!$A$3:$AB$189,24,FALSE)="","",VLOOKUP($A18,Cost_Estimates!$A$3:$AB$189,24,FALSE))</f>
        <v/>
      </c>
      <c r="M18" s="58" t="str">
        <f>IF(VLOOKUP($A18,Cost_Estimates!$A$3:$AB$189,25,FALSE)="","",VLOOKUP($A18,Cost_Estimates!$A$3:$AB$189,25,FALSE))</f>
        <v/>
      </c>
      <c r="N18" s="58" t="str">
        <f>IF(VLOOKUP($A18,Cost_Estimates!$A$3:$AB$189,26,FALSE)="","",VLOOKUP($A18,Cost_Estimates!$A$3:$AB$189,26,FALSE))</f>
        <v/>
      </c>
      <c r="O18" s="14" t="str">
        <f>IF(VLOOKUP($A18,Cost_Estimates!$A$3:$AB$189,27,FALSE)="","",VLOOKUP($A18,Cost_Estimates!$A$3:$AB$189,27,FALSE))</f>
        <v/>
      </c>
      <c r="P18" s="14" t="str">
        <f>IF(VLOOKUP($A18,Cost_Estimates!$A$3:$AB$189,28,FALSE)="","",VLOOKUP($A18,Cost_Estimates!$A$3:$AB$189,28,FALSE))</f>
        <v/>
      </c>
    </row>
    <row r="19" spans="1:16" ht="60.6" customHeight="1" x14ac:dyDescent="0.25">
      <c r="A19" s="14" t="s">
        <v>444</v>
      </c>
      <c r="B19" s="14" t="str">
        <f>IF(VLOOKUP($A19,Cost_Estimates!$A$3:$AB$189,2,FALSE)="","",VLOOKUP($A19,Cost_Estimates!$A$3:$AB$189,2,FALSE))</f>
        <v>Piopiotahi</v>
      </c>
      <c r="C19" s="11" t="str">
        <f>IF(VLOOKUP($A19,Cost_Estimates!$A$3:$AB$189,4,FALSE)="","",VLOOKUP($A19,Cost_Estimates!$A$3:$AB$189,4,FALSE))</f>
        <v>Tracks &amp; observation points</v>
      </c>
      <c r="D19" s="14" t="str">
        <f>IF(VLOOKUP($A19,Cost_Estimates!$A$3:$AB$189,5,FALSE)="","",VLOOKUP($A19,Cost_Estimates!$A$3:$AB$189,5,FALSE))</f>
        <v>Walking Track - Accessible (Premium)</v>
      </c>
      <c r="E19" s="11" t="str">
        <f>IF(VLOOKUP($A19,Cost_Estimates!$A$3:$AB$189,6,FALSE)="","",VLOOKUP($A19,Cost_Estimates!$A$3:$AB$189,6,FALSE))</f>
        <v xml:space="preserve">Wheelchair accessible Track (corridor access around the Visitor Hub not otherwise covered under the water front development). </v>
      </c>
      <c r="F19" s="14" t="str">
        <f>IF(VLOOKUP($A19,Cost_Estimates!$A$3:$AB$189,7,FALSE)="","",VLOOKUP($A19,Cost_Estimates!$A$3:$AB$189,7,FALSE))</f>
        <v>m</v>
      </c>
      <c r="G19" s="45">
        <f>IF(VLOOKUP($A19,Cost_Estimates!$A$3:$AB$189,9,FALSE)="","",VLOOKUP($A19,Cost_Estimates!$A$3:$AB$189,9,FALSE))</f>
        <v>1000</v>
      </c>
      <c r="H19" s="43">
        <f>IF(VLOOKUP($A19,Cost_Estimates!$A$3:$AB$189,20,FALSE)="","",VLOOKUP($A19,Cost_Estimates!$A$3:$AB$189,20,FALSE))</f>
        <v>977000</v>
      </c>
      <c r="I19" s="7">
        <f>IF(VLOOKUP($A19,Cost_Estimates!$A$3:$AB$189,21,FALSE)="","",VLOOKUP($A19,Cost_Estimates!$A$3:$AB$189,21,FALSE))</f>
        <v>0</v>
      </c>
      <c r="J19" s="7">
        <f>IF(VLOOKUP($A19,Cost_Estimates!$A$3:$AB$189,22,FALSE)="","",VLOOKUP($A19,Cost_Estimates!$A$3:$AB$189,22,FALSE))</f>
        <v>2022</v>
      </c>
      <c r="K19" s="7">
        <f>IF(VLOOKUP($A19,Cost_Estimates!$A$3:$AB$189,23,FALSE)="","",VLOOKUP($A19,Cost_Estimates!$A$3:$AB$189,23,FALSE))</f>
        <v>3</v>
      </c>
      <c r="L19" s="7">
        <f>IF(VLOOKUP($A19,Cost_Estimates!$A$3:$AB$189,24,FALSE)="","",VLOOKUP($A19,Cost_Estimates!$A$3:$AB$189,24,FALSE))</f>
        <v>2025</v>
      </c>
      <c r="M19" s="58" t="str">
        <f>IF(VLOOKUP($A19,Cost_Estimates!$A$3:$AB$189,25,FALSE)="","",VLOOKUP($A19,Cost_Estimates!$A$3:$AB$189,25,FALSE))</f>
        <v>Base Option Design Yr 1, Construct Yr 2/3</v>
      </c>
      <c r="N19" s="58" t="str">
        <f>IF(VLOOKUP($A19,Cost_Estimates!$A$3:$AB$189,26,FALSE)="","",VLOOKUP($A19,Cost_Estimates!$A$3:$AB$189,26,FALSE))</f>
        <v/>
      </c>
      <c r="O19" s="14" t="str">
        <f>IF(VLOOKUP($A19,Cost_Estimates!$A$3:$AB$189,27,FALSE)="","",VLOOKUP($A19,Cost_Estimates!$A$3:$AB$189,27,FALSE))</f>
        <v/>
      </c>
      <c r="P19" s="14" t="str">
        <f>IF(VLOOKUP($A19,Cost_Estimates!$A$3:$AB$189,28,FALSE)="","",VLOOKUP($A19,Cost_Estimates!$A$3:$AB$189,28,FALSE))</f>
        <v/>
      </c>
    </row>
    <row r="20" spans="1:16" ht="60.6" customHeight="1" x14ac:dyDescent="0.25">
      <c r="A20" s="14" t="s">
        <v>388</v>
      </c>
      <c r="B20" s="14" t="str">
        <f>IF(VLOOKUP($A20,Cost_Estimates!$A$3:$AB$189,2,FALSE)="","",VLOOKUP($A20,Cost_Estimates!$A$3:$AB$189,2,FALSE))</f>
        <v>Piopiotahi</v>
      </c>
      <c r="C20" s="11" t="str">
        <f>IF(VLOOKUP($A20,Cost_Estimates!$A$3:$AB$189,4,FALSE)="","",VLOOKUP($A20,Cost_Estimates!$A$3:$AB$189,4,FALSE))</f>
        <v>Tracks &amp; observation points</v>
      </c>
      <c r="D20" s="14" t="str">
        <f>IF(VLOOKUP($A20,Cost_Estimates!$A$3:$AB$189,5,FALSE)="","",VLOOKUP($A20,Cost_Estimates!$A$3:$AB$189,5,FALSE))</f>
        <v>Deconstruction - Airport Runway</v>
      </c>
      <c r="E20" s="11" t="str">
        <f>IF(VLOOKUP($A20,Cost_Estimates!$A$3:$AB$189,6,FALSE)="","",VLOOKUP($A20,Cost_Estimates!$A$3:$AB$189,6,FALSE))</f>
        <v>Removal of existing runway and pavement areas. Establish either landscaping features / planting or establish locations for helicopter landings in its place.</v>
      </c>
      <c r="F20" s="14" t="str">
        <f>IF(VLOOKUP($A20,Cost_Estimates!$A$3:$AB$189,7,FALSE)="","",VLOOKUP($A20,Cost_Estimates!$A$3:$AB$189,7,FALSE))</f>
        <v>m2</v>
      </c>
      <c r="G20" s="45">
        <f>IF(VLOOKUP($A20,Cost_Estimates!$A$3:$AB$189,9,FALSE)="","",VLOOKUP($A20,Cost_Estimates!$A$3:$AB$189,9,FALSE))</f>
        <v>16000</v>
      </c>
      <c r="H20" s="43">
        <f>IF(VLOOKUP($A20,Cost_Estimates!$A$3:$AB$189,20,FALSE)="","",VLOOKUP($A20,Cost_Estimates!$A$3:$AB$189,20,FALSE))</f>
        <v>4506000</v>
      </c>
      <c r="I20" s="7">
        <f>IF(VLOOKUP($A20,Cost_Estimates!$A$3:$AB$189,21,FALSE)="","",VLOOKUP($A20,Cost_Estimates!$A$3:$AB$189,21,FALSE))</f>
        <v>2</v>
      </c>
      <c r="J20" s="7">
        <f>IF(VLOOKUP($A20,Cost_Estimates!$A$3:$AB$189,22,FALSE)="","",VLOOKUP($A20,Cost_Estimates!$A$3:$AB$189,22,FALSE))</f>
        <v>2024</v>
      </c>
      <c r="K20" s="7">
        <f>IF(VLOOKUP($A20,Cost_Estimates!$A$3:$AB$189,23,FALSE)="","",VLOOKUP($A20,Cost_Estimates!$A$3:$AB$189,23,FALSE))</f>
        <v>1</v>
      </c>
      <c r="L20" s="7">
        <f>IF(VLOOKUP($A20,Cost_Estimates!$A$3:$AB$189,24,FALSE)="","",VLOOKUP($A20,Cost_Estimates!$A$3:$AB$189,24,FALSE))</f>
        <v>2025</v>
      </c>
      <c r="M20" s="58" t="str">
        <f>IF(VLOOKUP($A20,Cost_Estimates!$A$3:$AB$189,25,FALSE)="","",VLOOKUP($A20,Cost_Estimates!$A$3:$AB$189,25,FALSE))</f>
        <v>Delayed start tied into visitor hub development</v>
      </c>
      <c r="N20" s="58" t="str">
        <f>IF(VLOOKUP($A20,Cost_Estimates!$A$3:$AB$189,26,FALSE)="","",VLOOKUP($A20,Cost_Estimates!$A$3:$AB$189,26,FALSE))</f>
        <v/>
      </c>
      <c r="O20" s="14" t="str">
        <f>IF(VLOOKUP($A20,Cost_Estimates!$A$3:$AB$189,27,FALSE)="","",VLOOKUP($A20,Cost_Estimates!$A$3:$AB$189,27,FALSE))</f>
        <v/>
      </c>
      <c r="P20" s="14" t="str">
        <f>IF(VLOOKUP($A20,Cost_Estimates!$A$3:$AB$189,28,FALSE)="","",VLOOKUP($A20,Cost_Estimates!$A$3:$AB$189,28,FALSE))</f>
        <v/>
      </c>
    </row>
    <row r="21" spans="1:16" ht="60.6" customHeight="1" x14ac:dyDescent="0.25">
      <c r="A21" s="14" t="s">
        <v>390</v>
      </c>
      <c r="B21" s="14" t="str">
        <f>IF(VLOOKUP($A21,Cost_Estimates!$A$3:$AB$189,2,FALSE)="","",VLOOKUP($A21,Cost_Estimates!$A$3:$AB$189,2,FALSE))</f>
        <v>Piopiotahi</v>
      </c>
      <c r="C21" s="11" t="str">
        <f>IF(VLOOKUP($A21,Cost_Estimates!$A$3:$AB$189,4,FALSE)="","",VLOOKUP($A21,Cost_Estimates!$A$3:$AB$189,4,FALSE))</f>
        <v>Tracks &amp; observation points</v>
      </c>
      <c r="D21" s="14" t="str">
        <f>IF(VLOOKUP($A21,Cost_Estimates!$A$3:$AB$189,5,FALSE)="","",VLOOKUP($A21,Cost_Estimates!$A$3:$AB$189,5,FALSE))</f>
        <v>Visitor Protection Refuges</v>
      </c>
      <c r="E21" s="11" t="str">
        <f>IF(VLOOKUP($A21,Cost_Estimates!$A$3:$AB$189,6,FALSE)="","",VLOOKUP($A21,Cost_Estimates!$A$3:$AB$189,6,FALSE))</f>
        <v>Shelter / Refuge for hazards at key locations outside of the key structures (at Fresh Water Basin, Long Stay Parking, Deepwater Basin, Cleddau Delta). Double as infromation centres and potential observation points</v>
      </c>
      <c r="F21" s="14" t="str">
        <f>IF(VLOOKUP($A21,Cost_Estimates!$A$3:$AB$189,7,FALSE)="","",VLOOKUP($A21,Cost_Estimates!$A$3:$AB$189,7,FALSE))</f>
        <v>no.</v>
      </c>
      <c r="G21" s="45">
        <f>IF(VLOOKUP($A21,Cost_Estimates!$A$3:$AB$189,9,FALSE)="","",VLOOKUP($A21,Cost_Estimates!$A$3:$AB$189,9,FALSE))</f>
        <v>4</v>
      </c>
      <c r="H21" s="43">
        <f>IF(VLOOKUP($A21,Cost_Estimates!$A$3:$AB$189,20,FALSE)="","",VLOOKUP($A21,Cost_Estimates!$A$3:$AB$189,20,FALSE))</f>
        <v>2967000</v>
      </c>
      <c r="I21" s="7">
        <f>IF(VLOOKUP($A21,Cost_Estimates!$A$3:$AB$189,21,FALSE)="","",VLOOKUP($A21,Cost_Estimates!$A$3:$AB$189,21,FALSE))</f>
        <v>0</v>
      </c>
      <c r="J21" s="7">
        <f>IF(VLOOKUP($A21,Cost_Estimates!$A$3:$AB$189,22,FALSE)="","",VLOOKUP($A21,Cost_Estimates!$A$3:$AB$189,22,FALSE))</f>
        <v>2022</v>
      </c>
      <c r="K21" s="7">
        <f>IF(VLOOKUP($A21,Cost_Estimates!$A$3:$AB$189,23,FALSE)="","",VLOOKUP($A21,Cost_Estimates!$A$3:$AB$189,23,FALSE))</f>
        <v>2</v>
      </c>
      <c r="L21" s="7">
        <f>IF(VLOOKUP($A21,Cost_Estimates!$A$3:$AB$189,24,FALSE)="","",VLOOKUP($A21,Cost_Estimates!$A$3:$AB$189,24,FALSE))</f>
        <v>2024</v>
      </c>
      <c r="M21" s="58" t="str">
        <f>IF(VLOOKUP($A21,Cost_Estimates!$A$3:$AB$189,25,FALSE)="","",VLOOKUP($A21,Cost_Estimates!$A$3:$AB$189,25,FALSE))</f>
        <v>Base Option Design Yr 1, Construct Yr 2</v>
      </c>
      <c r="N21" s="58" t="str">
        <f>IF(VLOOKUP($A21,Cost_Estimates!$A$3:$AB$189,26,FALSE)="","",VLOOKUP($A21,Cost_Estimates!$A$3:$AB$189,26,FALSE))</f>
        <v/>
      </c>
      <c r="O21" s="14" t="str">
        <f>IF(VLOOKUP($A21,Cost_Estimates!$A$3:$AB$189,27,FALSE)="","",VLOOKUP($A21,Cost_Estimates!$A$3:$AB$189,27,FALSE))</f>
        <v/>
      </c>
      <c r="P21" s="14" t="str">
        <f>IF(VLOOKUP($A21,Cost_Estimates!$A$3:$AB$189,28,FALSE)="","",VLOOKUP($A21,Cost_Estimates!$A$3:$AB$189,28,FALSE))</f>
        <v/>
      </c>
    </row>
    <row r="22" spans="1:16" ht="60.6" customHeight="1" x14ac:dyDescent="0.25">
      <c r="A22" s="14" t="s">
        <v>391</v>
      </c>
      <c r="B22" s="14" t="str">
        <f>IF(VLOOKUP($A22,Cost_Estimates!$A$3:$AB$189,2,FALSE)="","",VLOOKUP($A22,Cost_Estimates!$A$3:$AB$189,2,FALSE))</f>
        <v>Piopiotahi</v>
      </c>
      <c r="C22" s="11" t="str">
        <f>IF(VLOOKUP($A22,Cost_Estimates!$A$3:$AB$189,4,FALSE)="","",VLOOKUP($A22,Cost_Estimates!$A$3:$AB$189,4,FALSE))</f>
        <v>Parking</v>
      </c>
      <c r="D22" s="14" t="str">
        <f>IF(VLOOKUP($A22,Cost_Estimates!$A$3:$AB$189,5,FALSE)="","",VLOOKUP($A22,Cost_Estimates!$A$3:$AB$189,5,FALSE))</f>
        <v>Pavements - New Parking Area Sealed</v>
      </c>
      <c r="E22" s="11" t="str">
        <f>IF(VLOOKUP($A22,Cost_Estimates!$A$3:$AB$189,6,FALSE)="","",VLOOKUP($A22,Cost_Estimates!$A$3:$AB$189,6,FALSE))</f>
        <v>Long stay parking and bus layover area. To be established within the footprint of the existing staff accommodation area.</v>
      </c>
      <c r="F22" s="14" t="str">
        <f>IF(VLOOKUP($A22,Cost_Estimates!$A$3:$AB$189,7,FALSE)="","",VLOOKUP($A22,Cost_Estimates!$A$3:$AB$189,7,FALSE))</f>
        <v>m2</v>
      </c>
      <c r="G22" s="45">
        <f>IF(VLOOKUP($A22,Cost_Estimates!$A$3:$AB$189,9,FALSE)="","",VLOOKUP($A22,Cost_Estimates!$A$3:$AB$189,9,FALSE))</f>
        <v>6000</v>
      </c>
      <c r="H22" s="43">
        <f>IF(VLOOKUP($A22,Cost_Estimates!$A$3:$AB$189,20,FALSE)="","",VLOOKUP($A22,Cost_Estimates!$A$3:$AB$189,20,FALSE))</f>
        <v>3115000</v>
      </c>
      <c r="I22" s="7">
        <f>IF(VLOOKUP($A22,Cost_Estimates!$A$3:$AB$189,21,FALSE)="","",VLOOKUP($A22,Cost_Estimates!$A$3:$AB$189,21,FALSE))</f>
        <v>0</v>
      </c>
      <c r="J22" s="7">
        <f>IF(VLOOKUP($A22,Cost_Estimates!$A$3:$AB$189,22,FALSE)="","",VLOOKUP($A22,Cost_Estimates!$A$3:$AB$189,22,FALSE))</f>
        <v>2022</v>
      </c>
      <c r="K22" s="7">
        <f>IF(VLOOKUP($A22,Cost_Estimates!$A$3:$AB$189,23,FALSE)="","",VLOOKUP($A22,Cost_Estimates!$A$3:$AB$189,23,FALSE))</f>
        <v>3</v>
      </c>
      <c r="L22" s="7">
        <f>IF(VLOOKUP($A22,Cost_Estimates!$A$3:$AB$189,24,FALSE)="","",VLOOKUP($A22,Cost_Estimates!$A$3:$AB$189,24,FALSE))</f>
        <v>2025</v>
      </c>
      <c r="M22" s="58" t="str">
        <f>IF(VLOOKUP($A22,Cost_Estimates!$A$3:$AB$189,25,FALSE)="","",VLOOKUP($A22,Cost_Estimates!$A$3:$AB$189,25,FALSE))</f>
        <v/>
      </c>
      <c r="N22" s="58" t="str">
        <f>IF(VLOOKUP($A22,Cost_Estimates!$A$3:$AB$189,26,FALSE)="","",VLOOKUP($A22,Cost_Estimates!$A$3:$AB$189,26,FALSE))</f>
        <v/>
      </c>
      <c r="O22" s="14" t="str">
        <f>IF(VLOOKUP($A22,Cost_Estimates!$A$3:$AB$189,27,FALSE)="","",VLOOKUP($A22,Cost_Estimates!$A$3:$AB$189,27,FALSE))</f>
        <v/>
      </c>
      <c r="P22" s="14" t="str">
        <f>IF(VLOOKUP($A22,Cost_Estimates!$A$3:$AB$189,28,FALSE)="","",VLOOKUP($A22,Cost_Estimates!$A$3:$AB$189,28,FALSE))</f>
        <v/>
      </c>
    </row>
    <row r="23" spans="1:16" ht="60.6" customHeight="1" x14ac:dyDescent="0.25">
      <c r="A23" s="14" t="s">
        <v>396</v>
      </c>
      <c r="B23" s="14" t="str">
        <f>IF(VLOOKUP($A23,Cost_Estimates!$A$3:$AB$189,2,FALSE)="","",VLOOKUP($A23,Cost_Estimates!$A$3:$AB$189,2,FALSE))</f>
        <v>Piopiotahi</v>
      </c>
      <c r="C23" s="11" t="str">
        <f>IF(VLOOKUP($A23,Cost_Estimates!$A$3:$AB$189,4,FALSE)="","",VLOOKUP($A23,Cost_Estimates!$A$3:$AB$189,4,FALSE))</f>
        <v>Transport Terminal</v>
      </c>
      <c r="D23" s="14" t="str">
        <f>IF(VLOOKUP($A23,Cost_Estimates!$A$3:$AB$189,5,FALSE)="","",VLOOKUP($A23,Cost_Estimates!$A$3:$AB$189,5,FALSE))</f>
        <v>Shuttles - Base of Operations</v>
      </c>
      <c r="E23" s="11" t="str">
        <f>IF(VLOOKUP($A23,Cost_Estimates!$A$3:$AB$189,6,FALSE)="","",VLOOKUP($A23,Cost_Estimates!$A$3:$AB$189,6,FALSE))</f>
        <v>Area for the operation and maintenance of shuttles to take visitors from the hub to the terminal. Includes facilities for Bus driver resting, shuttle mainteance, charging and overnight housing</v>
      </c>
      <c r="F23" s="14" t="str">
        <f>IF(VLOOKUP($A23,Cost_Estimates!$A$3:$AB$189,7,FALSE)="","",VLOOKUP($A23,Cost_Estimates!$A$3:$AB$189,7,FALSE))</f>
        <v/>
      </c>
      <c r="G23" s="45" t="str">
        <f>IF(VLOOKUP($A23,Cost_Estimates!$A$3:$AB$189,9,FALSE)="","",VLOOKUP($A23,Cost_Estimates!$A$3:$AB$189,9,FALSE))</f>
        <v/>
      </c>
      <c r="H23" s="43">
        <f>IF(VLOOKUP($A23,Cost_Estimates!$A$3:$AB$189,20,FALSE)="","",VLOOKUP($A23,Cost_Estimates!$A$3:$AB$189,20,FALSE))</f>
        <v>4571000</v>
      </c>
      <c r="I23" s="7" t="str">
        <f>IF(VLOOKUP($A23,Cost_Estimates!$A$3:$AB$189,21,FALSE)="","",VLOOKUP($A23,Cost_Estimates!$A$3:$AB$189,21,FALSE))</f>
        <v/>
      </c>
      <c r="J23" s="7" t="str">
        <f>IF(VLOOKUP($A23,Cost_Estimates!$A$3:$AB$189,22,FALSE)="","",VLOOKUP($A23,Cost_Estimates!$A$3:$AB$189,22,FALSE))</f>
        <v/>
      </c>
      <c r="K23" s="7" t="str">
        <f>IF(VLOOKUP($A23,Cost_Estimates!$A$3:$AB$189,23,FALSE)="","",VLOOKUP($A23,Cost_Estimates!$A$3:$AB$189,23,FALSE))</f>
        <v/>
      </c>
      <c r="L23" s="7" t="str">
        <f>IF(VLOOKUP($A23,Cost_Estimates!$A$3:$AB$189,24,FALSE)="","",VLOOKUP($A23,Cost_Estimates!$A$3:$AB$189,24,FALSE))</f>
        <v/>
      </c>
      <c r="M23" s="58" t="str">
        <f>IF(VLOOKUP($A23,Cost_Estimates!$A$3:$AB$189,25,FALSE)="","",VLOOKUP($A23,Cost_Estimates!$A$3:$AB$189,25,FALSE))</f>
        <v/>
      </c>
      <c r="N23" s="58" t="str">
        <f>IF(VLOOKUP($A23,Cost_Estimates!$A$3:$AB$189,26,FALSE)="","",VLOOKUP($A23,Cost_Estimates!$A$3:$AB$189,26,FALSE))</f>
        <v/>
      </c>
      <c r="O23" s="14" t="str">
        <f>IF(VLOOKUP($A23,Cost_Estimates!$A$3:$AB$189,27,FALSE)="","",VLOOKUP($A23,Cost_Estimates!$A$3:$AB$189,27,FALSE))</f>
        <v/>
      </c>
      <c r="P23" s="14" t="str">
        <f>IF(VLOOKUP($A23,Cost_Estimates!$A$3:$AB$189,28,FALSE)="","",VLOOKUP($A23,Cost_Estimates!$A$3:$AB$189,28,FALSE))</f>
        <v/>
      </c>
    </row>
    <row r="24" spans="1:16" ht="60.6" customHeight="1" x14ac:dyDescent="0.25">
      <c r="A24" s="14" t="s">
        <v>397</v>
      </c>
      <c r="B24" s="14" t="str">
        <f>IF(VLOOKUP($A24,Cost_Estimates!$A$3:$AB$189,2,FALSE)="","",VLOOKUP($A24,Cost_Estimates!$A$3:$AB$189,2,FALSE))</f>
        <v>Piopiotahi</v>
      </c>
      <c r="C24" s="11" t="str">
        <f>IF(VLOOKUP($A24,Cost_Estimates!$A$3:$AB$189,4,FALSE)="","",VLOOKUP($A24,Cost_Estimates!$A$3:$AB$189,4,FALSE))</f>
        <v>Access Systems</v>
      </c>
      <c r="D24" s="14" t="str">
        <f>IF(VLOOKUP($A24,Cost_Estimates!$A$3:$AB$189,5,FALSE)="","",VLOOKUP($A24,Cost_Estimates!$A$3:$AB$189,5,FALSE))</f>
        <v>Shuttles - Capital Investment</v>
      </c>
      <c r="E24" s="11" t="str">
        <f>IF(VLOOKUP($A24,Cost_Estimates!$A$3:$AB$189,6,FALSE)="","",VLOOKUP($A24,Cost_Estimates!$A$3:$AB$189,6,FALSE))</f>
        <v>Purchase of shuttles to convey visitors from from Visitor Experience Hub to the ferry terminal.</v>
      </c>
      <c r="F24" s="14" t="str">
        <f>IF(VLOOKUP($A24,Cost_Estimates!$A$3:$AB$189,7,FALSE)="","",VLOOKUP($A24,Cost_Estimates!$A$3:$AB$189,7,FALSE))</f>
        <v>no.</v>
      </c>
      <c r="G24" s="45">
        <f>IF(VLOOKUP($A24,Cost_Estimates!$A$3:$AB$189,9,FALSE)="","",VLOOKUP($A24,Cost_Estimates!$A$3:$AB$189,9,FALSE))</f>
        <v>12</v>
      </c>
      <c r="H24" s="43">
        <f>IF(VLOOKUP($A24,Cost_Estimates!$A$3:$AB$189,20,FALSE)="","",VLOOKUP($A24,Cost_Estimates!$A$3:$AB$189,20,FALSE))</f>
        <v>10908000</v>
      </c>
      <c r="I24" s="7" t="str">
        <f>IF(VLOOKUP($A24,Cost_Estimates!$A$3:$AB$189,21,FALSE)="","",VLOOKUP($A24,Cost_Estimates!$A$3:$AB$189,21,FALSE))</f>
        <v/>
      </c>
      <c r="J24" s="7" t="str">
        <f>IF(VLOOKUP($A24,Cost_Estimates!$A$3:$AB$189,22,FALSE)="","",VLOOKUP($A24,Cost_Estimates!$A$3:$AB$189,22,FALSE))</f>
        <v/>
      </c>
      <c r="K24" s="7" t="str">
        <f>IF(VLOOKUP($A24,Cost_Estimates!$A$3:$AB$189,23,FALSE)="","",VLOOKUP($A24,Cost_Estimates!$A$3:$AB$189,23,FALSE))</f>
        <v/>
      </c>
      <c r="L24" s="7" t="str">
        <f>IF(VLOOKUP($A24,Cost_Estimates!$A$3:$AB$189,24,FALSE)="","",VLOOKUP($A24,Cost_Estimates!$A$3:$AB$189,24,FALSE))</f>
        <v/>
      </c>
      <c r="M24" s="58" t="str">
        <f>IF(VLOOKUP($A24,Cost_Estimates!$A$3:$AB$189,25,FALSE)="","",VLOOKUP($A24,Cost_Estimates!$A$3:$AB$189,25,FALSE))</f>
        <v/>
      </c>
      <c r="N24" s="58" t="str">
        <f>IF(VLOOKUP($A24,Cost_Estimates!$A$3:$AB$189,26,FALSE)="","",VLOOKUP($A24,Cost_Estimates!$A$3:$AB$189,26,FALSE))</f>
        <v/>
      </c>
      <c r="O24" s="14" t="str">
        <f>IF(VLOOKUP($A24,Cost_Estimates!$A$3:$AB$189,27,FALSE)="","",VLOOKUP($A24,Cost_Estimates!$A$3:$AB$189,27,FALSE))</f>
        <v/>
      </c>
      <c r="P24" s="14" t="str">
        <f>IF(VLOOKUP($A24,Cost_Estimates!$A$3:$AB$189,28,FALSE)="","",VLOOKUP($A24,Cost_Estimates!$A$3:$AB$189,28,FALSE))</f>
        <v/>
      </c>
    </row>
    <row r="25" spans="1:16" ht="60.6" customHeight="1" x14ac:dyDescent="0.25">
      <c r="A25" s="14" t="s">
        <v>433</v>
      </c>
      <c r="B25" s="14" t="str">
        <f>IF(VLOOKUP($A25,Cost_Estimates!$A$3:$AB$189,2,FALSE)="","",VLOOKUP($A25,Cost_Estimates!$A$3:$AB$189,2,FALSE))</f>
        <v>Piopiotahi</v>
      </c>
      <c r="C25" s="11" t="str">
        <f>IF(VLOOKUP($A25,Cost_Estimates!$A$3:$AB$189,4,FALSE)="","",VLOOKUP($A25,Cost_Estimates!$A$3:$AB$189,4,FALSE))</f>
        <v>Tracks &amp; observation points</v>
      </c>
      <c r="D25" s="14" t="str">
        <f>IF(VLOOKUP($A25,Cost_Estimates!$A$3:$AB$189,5,FALSE)="","",VLOOKUP($A25,Cost_Estimates!$A$3:$AB$189,5,FALSE))</f>
        <v>Delta Walking Track - Accessible</v>
      </c>
      <c r="E25" s="11" t="str">
        <f>IF(VLOOKUP($A25,Cost_Estimates!$A$3:$AB$189,6,FALSE)="","",VLOOKUP($A25,Cost_Estimates!$A$3:$AB$189,6,FALSE))</f>
        <v xml:space="preserve">Accessible walking track developed through the Delta being mindful to minimise the physical footprint of the works. </v>
      </c>
      <c r="F25" s="14" t="str">
        <f>IF(VLOOKUP($A25,Cost_Estimates!$A$3:$AB$189,7,FALSE)="","",VLOOKUP($A25,Cost_Estimates!$A$3:$AB$189,7,FALSE))</f>
        <v>m</v>
      </c>
      <c r="G25" s="45">
        <f>IF(VLOOKUP($A25,Cost_Estimates!$A$3:$AB$189,9,FALSE)="","",VLOOKUP($A25,Cost_Estimates!$A$3:$AB$189,9,FALSE))</f>
        <v>3600</v>
      </c>
      <c r="H25" s="43">
        <f>IF(VLOOKUP($A25,Cost_Estimates!$A$3:$AB$189,20,FALSE)="","",VLOOKUP($A25,Cost_Estimates!$A$3:$AB$189,20,FALSE))</f>
        <v>2991000</v>
      </c>
      <c r="I25" s="7">
        <f>IF(VLOOKUP($A25,Cost_Estimates!$A$3:$AB$189,21,FALSE)="","",VLOOKUP($A25,Cost_Estimates!$A$3:$AB$189,21,FALSE))</f>
        <v>0</v>
      </c>
      <c r="J25" s="7">
        <f>IF(VLOOKUP($A25,Cost_Estimates!$A$3:$AB$189,22,FALSE)="","",VLOOKUP($A25,Cost_Estimates!$A$3:$AB$189,22,FALSE))</f>
        <v>2022</v>
      </c>
      <c r="K25" s="7">
        <f>IF(VLOOKUP($A25,Cost_Estimates!$A$3:$AB$189,23,FALSE)="","",VLOOKUP($A25,Cost_Estimates!$A$3:$AB$189,23,FALSE))</f>
        <v>3</v>
      </c>
      <c r="L25" s="7">
        <f>IF(VLOOKUP($A25,Cost_Estimates!$A$3:$AB$189,24,FALSE)="","",VLOOKUP($A25,Cost_Estimates!$A$3:$AB$189,24,FALSE))</f>
        <v>2025</v>
      </c>
      <c r="M25" s="58" t="str">
        <f>IF(VLOOKUP($A25,Cost_Estimates!$A$3:$AB$189,25,FALSE)="","",VLOOKUP($A25,Cost_Estimates!$A$3:$AB$189,25,FALSE))</f>
        <v>Base Option Design Yr 1, Construct Yr 2/3</v>
      </c>
      <c r="N25" s="58" t="str">
        <f>IF(VLOOKUP($A25,Cost_Estimates!$A$3:$AB$189,26,FALSE)="","",VLOOKUP($A25,Cost_Estimates!$A$3:$AB$189,26,FALSE))</f>
        <v/>
      </c>
      <c r="O25" s="14" t="str">
        <f>IF(VLOOKUP($A25,Cost_Estimates!$A$3:$AB$189,27,FALSE)="","",VLOOKUP($A25,Cost_Estimates!$A$3:$AB$189,27,FALSE))</f>
        <v/>
      </c>
      <c r="P25" s="14" t="str">
        <f>IF(VLOOKUP($A25,Cost_Estimates!$A$3:$AB$189,28,FALSE)="","",VLOOKUP($A25,Cost_Estimates!$A$3:$AB$189,28,FALSE))</f>
        <v/>
      </c>
    </row>
    <row r="26" spans="1:16" ht="60.6" customHeight="1" x14ac:dyDescent="0.25">
      <c r="A26" s="14" t="s">
        <v>436</v>
      </c>
      <c r="B26" s="14" t="str">
        <f>IF(VLOOKUP($A26,Cost_Estimates!$A$3:$AB$189,2,FALSE)="","",VLOOKUP($A26,Cost_Estimates!$A$3:$AB$189,2,FALSE))</f>
        <v>Piopiotahi</v>
      </c>
      <c r="C26" s="11" t="str">
        <f>IF(VLOOKUP($A26,Cost_Estimates!$A$3:$AB$189,4,FALSE)="","",VLOOKUP($A26,Cost_Estimates!$A$3:$AB$189,4,FALSE))</f>
        <v>Tracks &amp; observation points</v>
      </c>
      <c r="D26" s="14" t="str">
        <f>IF(VLOOKUP($A26,Cost_Estimates!$A$3:$AB$189,5,FALSE)="","",VLOOKUP($A26,Cost_Estimates!$A$3:$AB$189,5,FALSE))</f>
        <v>Walking Track - Milford Lodge to Tutoko Bridge</v>
      </c>
      <c r="E26" s="11" t="str">
        <f>IF(VLOOKUP($A26,Cost_Estimates!$A$3:$AB$189,6,FALSE)="","",VLOOKUP($A26,Cost_Estimates!$A$3:$AB$189,6,FALSE))</f>
        <v>Great Walks Style of Track (ref DOC estimates, cutting into virgin terrain, variable conditions and hazards). Along SH94 alignment for 2000m and then 4000m upgrade alongside the Tutoko River</v>
      </c>
      <c r="F26" s="14" t="str">
        <f>IF(VLOOKUP($A26,Cost_Estimates!$A$3:$AB$189,7,FALSE)="","",VLOOKUP($A26,Cost_Estimates!$A$3:$AB$189,7,FALSE))</f>
        <v>m</v>
      </c>
      <c r="G26" s="45">
        <f>IF(VLOOKUP($A26,Cost_Estimates!$A$3:$AB$189,9,FALSE)="","",VLOOKUP($A26,Cost_Estimates!$A$3:$AB$189,9,FALSE))</f>
        <v>4000</v>
      </c>
      <c r="H26" s="43">
        <f>IF(VLOOKUP($A26,Cost_Estimates!$A$3:$AB$189,20,FALSE)="","",VLOOKUP($A26,Cost_Estimates!$A$3:$AB$189,20,FALSE))</f>
        <v>3323000</v>
      </c>
      <c r="I26" s="7">
        <f>IF(VLOOKUP($A26,Cost_Estimates!$A$3:$AB$189,21,FALSE)="","",VLOOKUP($A26,Cost_Estimates!$A$3:$AB$189,21,FALSE))</f>
        <v>0</v>
      </c>
      <c r="J26" s="7">
        <f>IF(VLOOKUP($A26,Cost_Estimates!$A$3:$AB$189,22,FALSE)="","",VLOOKUP($A26,Cost_Estimates!$A$3:$AB$189,22,FALSE))</f>
        <v>2022</v>
      </c>
      <c r="K26" s="7">
        <f>IF(VLOOKUP($A26,Cost_Estimates!$A$3:$AB$189,23,FALSE)="","",VLOOKUP($A26,Cost_Estimates!$A$3:$AB$189,23,FALSE))</f>
        <v>3</v>
      </c>
      <c r="L26" s="7">
        <f>IF(VLOOKUP($A26,Cost_Estimates!$A$3:$AB$189,24,FALSE)="","",VLOOKUP($A26,Cost_Estimates!$A$3:$AB$189,24,FALSE))</f>
        <v>2025</v>
      </c>
      <c r="M26" s="58" t="str">
        <f>IF(VLOOKUP($A26,Cost_Estimates!$A$3:$AB$189,25,FALSE)="","",VLOOKUP($A26,Cost_Estimates!$A$3:$AB$189,25,FALSE))</f>
        <v/>
      </c>
      <c r="N26" s="58" t="str">
        <f>IF(VLOOKUP($A26,Cost_Estimates!$A$3:$AB$189,26,FALSE)="","",VLOOKUP($A26,Cost_Estimates!$A$3:$AB$189,26,FALSE))</f>
        <v/>
      </c>
      <c r="O26" s="14" t="str">
        <f>IF(VLOOKUP($A26,Cost_Estimates!$A$3:$AB$189,27,FALSE)="","",VLOOKUP($A26,Cost_Estimates!$A$3:$AB$189,27,FALSE))</f>
        <v/>
      </c>
      <c r="P26" s="14" t="str">
        <f>IF(VLOOKUP($A26,Cost_Estimates!$A$3:$AB$189,28,FALSE)="","",VLOOKUP($A26,Cost_Estimates!$A$3:$AB$189,28,FALSE))</f>
        <v/>
      </c>
    </row>
    <row r="27" spans="1:16" ht="60.6" customHeight="1" x14ac:dyDescent="0.25">
      <c r="A27" s="14" t="s">
        <v>403</v>
      </c>
      <c r="B27" s="14" t="str">
        <f>IF(VLOOKUP($A27,Cost_Estimates!$A$3:$AB$189,2,FALSE)="","",VLOOKUP($A27,Cost_Estimates!$A$3:$AB$189,2,FALSE))</f>
        <v>Piopiotahi</v>
      </c>
      <c r="C27" s="11" t="str">
        <f>IF(VLOOKUP($A27,Cost_Estimates!$A$3:$AB$189,4,FALSE)="","",VLOOKUP($A27,Cost_Estimates!$A$3:$AB$189,4,FALSE))</f>
        <v>Commercial Fishing Port</v>
      </c>
      <c r="D27" s="14" t="str">
        <f>IF(VLOOKUP($A27,Cost_Estimates!$A$3:$AB$189,5,FALSE)="","",VLOOKUP($A27,Cost_Estimates!$A$3:$AB$189,5,FALSE))</f>
        <v>Structures - Operations - Commercial port</v>
      </c>
      <c r="E27" s="11" t="str">
        <f>IF(VLOOKUP($A27,Cost_Estimates!$A$3:$AB$189,6,FALSE)="","",VLOOKUP($A27,Cost_Estimates!$A$3:$AB$189,6,FALSE))</f>
        <v xml:space="preserve">Renewal of the existing building that houses the operations for the Commerical Port </v>
      </c>
      <c r="F27" s="14" t="str">
        <f>IF(VLOOKUP($A27,Cost_Estimates!$A$3:$AB$189,7,FALSE)="","",VLOOKUP($A27,Cost_Estimates!$A$3:$AB$189,7,FALSE))</f>
        <v>m2</v>
      </c>
      <c r="G27" s="45">
        <f>IF(VLOOKUP($A27,Cost_Estimates!$A$3:$AB$189,9,FALSE)="","",VLOOKUP($A27,Cost_Estimates!$A$3:$AB$189,9,FALSE))</f>
        <v>300</v>
      </c>
      <c r="H27" s="43">
        <f>IF(VLOOKUP($A27,Cost_Estimates!$A$3:$AB$189,20,FALSE)="","",VLOOKUP($A27,Cost_Estimates!$A$3:$AB$189,20,FALSE))</f>
        <v>2413000</v>
      </c>
      <c r="I27" s="7">
        <f>IF(VLOOKUP($A27,Cost_Estimates!$A$3:$AB$189,21,FALSE)="","",VLOOKUP($A27,Cost_Estimates!$A$3:$AB$189,21,FALSE))</f>
        <v>0</v>
      </c>
      <c r="J27" s="7">
        <f>IF(VLOOKUP($A27,Cost_Estimates!$A$3:$AB$189,22,FALSE)="","",VLOOKUP($A27,Cost_Estimates!$A$3:$AB$189,22,FALSE))</f>
        <v>2022</v>
      </c>
      <c r="K27" s="7">
        <f>IF(VLOOKUP($A27,Cost_Estimates!$A$3:$AB$189,23,FALSE)="","",VLOOKUP($A27,Cost_Estimates!$A$3:$AB$189,23,FALSE))</f>
        <v>3</v>
      </c>
      <c r="L27" s="7">
        <f>IF(VLOOKUP($A27,Cost_Estimates!$A$3:$AB$189,24,FALSE)="","",VLOOKUP($A27,Cost_Estimates!$A$3:$AB$189,24,FALSE))</f>
        <v>2025</v>
      </c>
      <c r="M27" s="58" t="str">
        <f>IF(VLOOKUP($A27,Cost_Estimates!$A$3:$AB$189,25,FALSE)="","",VLOOKUP($A27,Cost_Estimates!$A$3:$AB$189,25,FALSE))</f>
        <v>Assumed Base Option Design Yr 1, Construct Yr 2/3</v>
      </c>
      <c r="N27" s="58" t="str">
        <f>IF(VLOOKUP($A27,Cost_Estimates!$A$3:$AB$189,26,FALSE)="","",VLOOKUP($A27,Cost_Estimates!$A$3:$AB$189,26,FALSE))</f>
        <v/>
      </c>
      <c r="O27" s="14" t="str">
        <f>IF(VLOOKUP($A27,Cost_Estimates!$A$3:$AB$189,27,FALSE)="","",VLOOKUP($A27,Cost_Estimates!$A$3:$AB$189,27,FALSE))</f>
        <v/>
      </c>
      <c r="P27" s="14" t="str">
        <f>IF(VLOOKUP($A27,Cost_Estimates!$A$3:$AB$189,28,FALSE)="","",VLOOKUP($A27,Cost_Estimates!$A$3:$AB$189,28,FALSE))</f>
        <v/>
      </c>
    </row>
    <row r="28" spans="1:16" ht="60.6" customHeight="1" x14ac:dyDescent="0.25">
      <c r="A28" s="14" t="s">
        <v>413</v>
      </c>
      <c r="B28" s="14" t="str">
        <f>IF(VLOOKUP($A28,Cost_Estimates!$A$3:$AB$189,2,FALSE)="","",VLOOKUP($A28,Cost_Estimates!$A$3:$AB$189,2,FALSE))</f>
        <v>Piopiotahi</v>
      </c>
      <c r="C28" s="11" t="str">
        <f>IF(VLOOKUP($A28,Cost_Estimates!$A$3:$AB$189,4,FALSE)="","",VLOOKUP($A28,Cost_Estimates!$A$3:$AB$189,4,FALSE))</f>
        <v>Commercial Fishing Port</v>
      </c>
      <c r="D28" s="14" t="str">
        <f>IF(VLOOKUP($A28,Cost_Estimates!$A$3:$AB$189,5,FALSE)="","",VLOOKUP($A28,Cost_Estimates!$A$3:$AB$189,5,FALSE))</f>
        <v>Deepwater Basin Experience Hub</v>
      </c>
      <c r="E28" s="11" t="str">
        <f>IF(VLOOKUP($A28,Cost_Estimates!$A$3:$AB$189,6,FALSE)="","",VLOOKUP($A28,Cost_Estimates!$A$3:$AB$189,6,FALSE))</f>
        <v>Focus for tourist activities within Deepwater basin. To include a pavilion, boardwalk, food stalls, pavement and landscaping</v>
      </c>
      <c r="F28" s="14" t="str">
        <f>IF(VLOOKUP($A28,Cost_Estimates!$A$3:$AB$189,7,FALSE)="","",VLOOKUP($A28,Cost_Estimates!$A$3:$AB$189,7,FALSE))</f>
        <v/>
      </c>
      <c r="G28" s="45" t="str">
        <f>IF(VLOOKUP($A28,Cost_Estimates!$A$3:$AB$189,9,FALSE)="","",VLOOKUP($A28,Cost_Estimates!$A$3:$AB$189,9,FALSE))</f>
        <v/>
      </c>
      <c r="H28" s="43">
        <f>IF(VLOOKUP($A28,Cost_Estimates!$A$3:$AB$189,20,FALSE)="","",VLOOKUP($A28,Cost_Estimates!$A$3:$AB$189,20,FALSE))</f>
        <v>2854000</v>
      </c>
      <c r="I28" s="7">
        <f>IF(VLOOKUP($A28,Cost_Estimates!$A$3:$AB$189,21,FALSE)="","",VLOOKUP($A28,Cost_Estimates!$A$3:$AB$189,21,FALSE))</f>
        <v>0</v>
      </c>
      <c r="J28" s="7">
        <f>IF(VLOOKUP($A28,Cost_Estimates!$A$3:$AB$189,22,FALSE)="","",VLOOKUP($A28,Cost_Estimates!$A$3:$AB$189,22,FALSE))</f>
        <v>2022</v>
      </c>
      <c r="K28" s="7">
        <f>IF(VLOOKUP($A28,Cost_Estimates!$A$3:$AB$189,23,FALSE)="","",VLOOKUP($A28,Cost_Estimates!$A$3:$AB$189,23,FALSE))</f>
        <v>3</v>
      </c>
      <c r="L28" s="7">
        <f>IF(VLOOKUP($A28,Cost_Estimates!$A$3:$AB$189,24,FALSE)="","",VLOOKUP($A28,Cost_Estimates!$A$3:$AB$189,24,FALSE))</f>
        <v>2025</v>
      </c>
      <c r="M28" s="58" t="str">
        <f>IF(VLOOKUP($A28,Cost_Estimates!$A$3:$AB$189,25,FALSE)="","",VLOOKUP($A28,Cost_Estimates!$A$3:$AB$189,25,FALSE))</f>
        <v>Assumed Base Option Design Yr 1, Construct Yr 2/3</v>
      </c>
      <c r="N28" s="58" t="str">
        <f>IF(VLOOKUP($A28,Cost_Estimates!$A$3:$AB$189,26,FALSE)="","",VLOOKUP($A28,Cost_Estimates!$A$3:$AB$189,26,FALSE))</f>
        <v/>
      </c>
      <c r="O28" s="14" t="str">
        <f>IF(VLOOKUP($A28,Cost_Estimates!$A$3:$AB$189,27,FALSE)="","",VLOOKUP($A28,Cost_Estimates!$A$3:$AB$189,27,FALSE))</f>
        <v/>
      </c>
      <c r="P28" s="14" t="str">
        <f>IF(VLOOKUP($A28,Cost_Estimates!$A$3:$AB$189,28,FALSE)="","",VLOOKUP($A28,Cost_Estimates!$A$3:$AB$189,28,FALSE))</f>
        <v/>
      </c>
    </row>
    <row r="29" spans="1:16" ht="60.6" customHeight="1" x14ac:dyDescent="0.25">
      <c r="A29" s="14" t="s">
        <v>435</v>
      </c>
      <c r="B29" s="14" t="str">
        <f>IF(VLOOKUP($A29,Cost_Estimates!$A$3:$AB$189,2,FALSE)="","",VLOOKUP($A29,Cost_Estimates!$A$3:$AB$189,2,FALSE))</f>
        <v>Piopiotahi</v>
      </c>
      <c r="C29" s="11" t="str">
        <f>IF(VLOOKUP($A29,Cost_Estimates!$A$3:$AB$189,4,FALSE)="","",VLOOKUP($A29,Cost_Estimates!$A$3:$AB$189,4,FALSE))</f>
        <v>Commercial Fishing Port</v>
      </c>
      <c r="D29" s="14" t="str">
        <f>IF(VLOOKUP($A29,Cost_Estimates!$A$3:$AB$189,5,FALSE)="","",VLOOKUP($A29,Cost_Estimates!$A$3:$AB$189,5,FALSE))</f>
        <v xml:space="preserve">Kayak Landing point </v>
      </c>
      <c r="E29" s="11" t="str">
        <f>IF(VLOOKUP($A29,Cost_Estimates!$A$3:$AB$189,6,FALSE)="","",VLOOKUP($A29,Cost_Estimates!$A$3:$AB$189,6,FALSE))</f>
        <v xml:space="preserve">Developed on the basis of a floating pontoon. This could be developed as a modified concrete boat ramp instead </v>
      </c>
      <c r="F29" s="14" t="str">
        <f>IF(VLOOKUP($A29,Cost_Estimates!$A$3:$AB$189,7,FALSE)="","",VLOOKUP($A29,Cost_Estimates!$A$3:$AB$189,7,FALSE))</f>
        <v>m</v>
      </c>
      <c r="G29" s="45">
        <f>IF(VLOOKUP($A29,Cost_Estimates!$A$3:$AB$189,9,FALSE)="","",VLOOKUP($A29,Cost_Estimates!$A$3:$AB$189,9,FALSE))</f>
        <v>50</v>
      </c>
      <c r="H29" s="43">
        <f>IF(VLOOKUP($A29,Cost_Estimates!$A$3:$AB$189,20,FALSE)="","",VLOOKUP($A29,Cost_Estimates!$A$3:$AB$189,20,FALSE))</f>
        <v>312000</v>
      </c>
      <c r="I29" s="7">
        <f>IF(VLOOKUP($A29,Cost_Estimates!$A$3:$AB$189,21,FALSE)="","",VLOOKUP($A29,Cost_Estimates!$A$3:$AB$189,21,FALSE))</f>
        <v>0</v>
      </c>
      <c r="J29" s="7">
        <f>IF(VLOOKUP($A29,Cost_Estimates!$A$3:$AB$189,22,FALSE)="","",VLOOKUP($A29,Cost_Estimates!$A$3:$AB$189,22,FALSE))</f>
        <v>2022</v>
      </c>
      <c r="K29" s="7">
        <f>IF(VLOOKUP($A29,Cost_Estimates!$A$3:$AB$189,23,FALSE)="","",VLOOKUP($A29,Cost_Estimates!$A$3:$AB$189,23,FALSE))</f>
        <v>3</v>
      </c>
      <c r="L29" s="7">
        <f>IF(VLOOKUP($A29,Cost_Estimates!$A$3:$AB$189,24,FALSE)="","",VLOOKUP($A29,Cost_Estimates!$A$3:$AB$189,24,FALSE))</f>
        <v>2025</v>
      </c>
      <c r="M29" s="58" t="str">
        <f>IF(VLOOKUP($A29,Cost_Estimates!$A$3:$AB$189,25,FALSE)="","",VLOOKUP($A29,Cost_Estimates!$A$3:$AB$189,25,FALSE))</f>
        <v>linked to commercial hub deveopment</v>
      </c>
      <c r="N29" s="58" t="str">
        <f>IF(VLOOKUP($A29,Cost_Estimates!$A$3:$AB$189,26,FALSE)="","",VLOOKUP($A29,Cost_Estimates!$A$3:$AB$189,26,FALSE))</f>
        <v/>
      </c>
      <c r="O29" s="14" t="str">
        <f>IF(VLOOKUP($A29,Cost_Estimates!$A$3:$AB$189,27,FALSE)="","",VLOOKUP($A29,Cost_Estimates!$A$3:$AB$189,27,FALSE))</f>
        <v/>
      </c>
      <c r="P29" s="14" t="str">
        <f>IF(VLOOKUP($A29,Cost_Estimates!$A$3:$AB$189,28,FALSE)="","",VLOOKUP($A29,Cost_Estimates!$A$3:$AB$189,28,FALSE))</f>
        <v/>
      </c>
    </row>
    <row r="30" spans="1:16" ht="60.6" customHeight="1" x14ac:dyDescent="0.25">
      <c r="A30" s="14" t="s">
        <v>417</v>
      </c>
      <c r="B30" s="14" t="str">
        <f>IF(VLOOKUP($A30,Cost_Estimates!$A$3:$AB$189,2,FALSE)="","",VLOOKUP($A30,Cost_Estimates!$A$3:$AB$189,2,FALSE))</f>
        <v>Piopiotahi</v>
      </c>
      <c r="C30" s="11" t="str">
        <f>IF(VLOOKUP($A30,Cost_Estimates!$A$3:$AB$189,4,FALSE)="","",VLOOKUP($A30,Cost_Estimates!$A$3:$AB$189,4,FALSE))</f>
        <v>Ferry Terminal</v>
      </c>
      <c r="D30" s="14" t="str">
        <f>IF(VLOOKUP($A30,Cost_Estimates!$A$3:$AB$189,5,FALSE)="","",VLOOKUP($A30,Cost_Estimates!$A$3:$AB$189,5,FALSE))</f>
        <v>Deconstruction - Ferry Terminal</v>
      </c>
      <c r="E30" s="11" t="str">
        <f>IF(VLOOKUP($A30,Cost_Estimates!$A$3:$AB$189,6,FALSE)="","",VLOOKUP($A30,Cost_Estimates!$A$3:$AB$189,6,FALSE))</f>
        <v>Removal of Structures/Buildings at existing ferry terminal</v>
      </c>
      <c r="F30" s="14" t="str">
        <f>IF(VLOOKUP($A30,Cost_Estimates!$A$3:$AB$189,7,FALSE)="","",VLOOKUP($A30,Cost_Estimates!$A$3:$AB$189,7,FALSE))</f>
        <v>m2</v>
      </c>
      <c r="G30" s="45">
        <f>IF(VLOOKUP($A30,Cost_Estimates!$A$3:$AB$189,9,FALSE)="","",VLOOKUP($A30,Cost_Estimates!$A$3:$AB$189,9,FALSE))</f>
        <v>1300</v>
      </c>
      <c r="H30" s="43">
        <f>IF(VLOOKUP($A30,Cost_Estimates!$A$3:$AB$189,20,FALSE)="","",VLOOKUP($A30,Cost_Estimates!$A$3:$AB$189,20,FALSE))</f>
        <v>392000</v>
      </c>
      <c r="I30" s="7">
        <f>IF(VLOOKUP($A30,Cost_Estimates!$A$3:$AB$189,21,FALSE)="","",VLOOKUP($A30,Cost_Estimates!$A$3:$AB$189,21,FALSE))</f>
        <v>10</v>
      </c>
      <c r="J30" s="7">
        <f>IF(VLOOKUP($A30,Cost_Estimates!$A$3:$AB$189,22,FALSE)="","",VLOOKUP($A30,Cost_Estimates!$A$3:$AB$189,22,FALSE))</f>
        <v>2032</v>
      </c>
      <c r="K30" s="7">
        <f>IF(VLOOKUP($A30,Cost_Estimates!$A$3:$AB$189,23,FALSE)="","",VLOOKUP($A30,Cost_Estimates!$A$3:$AB$189,23,FALSE))</f>
        <v>1</v>
      </c>
      <c r="L30" s="7">
        <f>IF(VLOOKUP($A30,Cost_Estimates!$A$3:$AB$189,24,FALSE)="","",VLOOKUP($A30,Cost_Estimates!$A$3:$AB$189,24,FALSE))</f>
        <v>2033</v>
      </c>
      <c r="M30" s="58" t="str">
        <f>IF(VLOOKUP($A30,Cost_Estimates!$A$3:$AB$189,25,FALSE)="","",VLOOKUP($A30,Cost_Estimates!$A$3:$AB$189,25,FALSE))</f>
        <v/>
      </c>
      <c r="N30" s="58" t="str">
        <f>IF(VLOOKUP($A30,Cost_Estimates!$A$3:$AB$189,26,FALSE)="","",VLOOKUP($A30,Cost_Estimates!$A$3:$AB$189,26,FALSE))</f>
        <v/>
      </c>
      <c r="O30" s="14" t="str">
        <f>IF(VLOOKUP($A30,Cost_Estimates!$A$3:$AB$189,27,FALSE)="","",VLOOKUP($A30,Cost_Estimates!$A$3:$AB$189,27,FALSE))</f>
        <v/>
      </c>
      <c r="P30" s="14" t="str">
        <f>IF(VLOOKUP($A30,Cost_Estimates!$A$3:$AB$189,28,FALSE)="","",VLOOKUP($A30,Cost_Estimates!$A$3:$AB$189,28,FALSE))</f>
        <v/>
      </c>
    </row>
    <row r="31" spans="1:16" ht="60.6" customHeight="1" x14ac:dyDescent="0.25">
      <c r="A31" s="14" t="s">
        <v>418</v>
      </c>
      <c r="B31" s="14" t="str">
        <f>IF(VLOOKUP($A31,Cost_Estimates!$A$3:$AB$189,2,FALSE)="","",VLOOKUP($A31,Cost_Estimates!$A$3:$AB$189,2,FALSE))</f>
        <v>Piopiotahi</v>
      </c>
      <c r="C31" s="11" t="str">
        <f>IF(VLOOKUP($A31,Cost_Estimates!$A$3:$AB$189,4,FALSE)="","",VLOOKUP($A31,Cost_Estimates!$A$3:$AB$189,4,FALSE))</f>
        <v>Ferry Terminal</v>
      </c>
      <c r="D31" s="14" t="str">
        <f>IF(VLOOKUP($A31,Cost_Estimates!$A$3:$AB$189,5,FALSE)="","",VLOOKUP($A31,Cost_Estimates!$A$3:$AB$189,5,FALSE))</f>
        <v>Ferry Terminal Toilet Block</v>
      </c>
      <c r="E31" s="11" t="str">
        <f>IF(VLOOKUP($A31,Cost_Estimates!$A$3:$AB$189,6,FALSE)="","",VLOOKUP($A31,Cost_Estimates!$A$3:$AB$189,6,FALSE))</f>
        <v>Toilet block with 4-5 pans to replace the facilities currently available at the Ferry Terminal</v>
      </c>
      <c r="F31" s="14" t="str">
        <f>IF(VLOOKUP($A31,Cost_Estimates!$A$3:$AB$189,7,FALSE)="","",VLOOKUP($A31,Cost_Estimates!$A$3:$AB$189,7,FALSE))</f>
        <v>no.</v>
      </c>
      <c r="G31" s="45">
        <f>IF(VLOOKUP($A31,Cost_Estimates!$A$3:$AB$189,9,FALSE)="","",VLOOKUP($A31,Cost_Estimates!$A$3:$AB$189,9,FALSE))</f>
        <v>1</v>
      </c>
      <c r="H31" s="43">
        <f>IF(VLOOKUP($A31,Cost_Estimates!$A$3:$AB$189,20,FALSE)="","",VLOOKUP($A31,Cost_Estimates!$A$3:$AB$189,20,FALSE))</f>
        <v>758000</v>
      </c>
      <c r="I31" s="7">
        <f>IF(VLOOKUP($A31,Cost_Estimates!$A$3:$AB$189,21,FALSE)="","",VLOOKUP($A31,Cost_Estimates!$A$3:$AB$189,21,FALSE))</f>
        <v>10</v>
      </c>
      <c r="J31" s="7">
        <f>IF(VLOOKUP($A31,Cost_Estimates!$A$3:$AB$189,22,FALSE)="","",VLOOKUP($A31,Cost_Estimates!$A$3:$AB$189,22,FALSE))</f>
        <v>2032</v>
      </c>
      <c r="K31" s="7">
        <f>IF(VLOOKUP($A31,Cost_Estimates!$A$3:$AB$189,23,FALSE)="","",VLOOKUP($A31,Cost_Estimates!$A$3:$AB$189,23,FALSE))</f>
        <v>1</v>
      </c>
      <c r="L31" s="7">
        <f>IF(VLOOKUP($A31,Cost_Estimates!$A$3:$AB$189,24,FALSE)="","",VLOOKUP($A31,Cost_Estimates!$A$3:$AB$189,24,FALSE))</f>
        <v>2033</v>
      </c>
      <c r="M31" s="58" t="str">
        <f>IF(VLOOKUP($A31,Cost_Estimates!$A$3:$AB$189,25,FALSE)="","",VLOOKUP($A31,Cost_Estimates!$A$3:$AB$189,25,FALSE))</f>
        <v>Assumed part of staged development for the site - Linked to Deconstruction of Ferry Terminal</v>
      </c>
      <c r="N31" s="58" t="str">
        <f>IF(VLOOKUP($A31,Cost_Estimates!$A$3:$AB$189,26,FALSE)="","",VLOOKUP($A31,Cost_Estimates!$A$3:$AB$189,26,FALSE))</f>
        <v/>
      </c>
      <c r="O31" s="14" t="str">
        <f>IF(VLOOKUP($A31,Cost_Estimates!$A$3:$AB$189,27,FALSE)="","",VLOOKUP($A31,Cost_Estimates!$A$3:$AB$189,27,FALSE))</f>
        <v/>
      </c>
      <c r="P31" s="14" t="str">
        <f>IF(VLOOKUP($A31,Cost_Estimates!$A$3:$AB$189,28,FALSE)="","",VLOOKUP($A31,Cost_Estimates!$A$3:$AB$189,28,FALSE))</f>
        <v/>
      </c>
    </row>
    <row r="32" spans="1:16" ht="60.6" customHeight="1" x14ac:dyDescent="0.25">
      <c r="A32" s="14" t="s">
        <v>434</v>
      </c>
      <c r="B32" s="14" t="str">
        <f>IF(VLOOKUP($A32,Cost_Estimates!$A$3:$AB$189,2,FALSE)="","",VLOOKUP($A32,Cost_Estimates!$A$3:$AB$189,2,FALSE))</f>
        <v>Piopiotahi</v>
      </c>
      <c r="C32" s="11" t="str">
        <f>IF(VLOOKUP($A32,Cost_Estimates!$A$3:$AB$189,4,FALSE)="","",VLOOKUP($A32,Cost_Estimates!$A$3:$AB$189,4,FALSE))</f>
        <v>Tracks &amp; observation points</v>
      </c>
      <c r="D32" s="14" t="str">
        <f>IF(VLOOKUP($A32,Cost_Estimates!$A$3:$AB$189,5,FALSE)="","",VLOOKUP($A32,Cost_Estimates!$A$3:$AB$189,5,FALSE))</f>
        <v>Bowen Falls Pontoon Walkway</v>
      </c>
      <c r="E32" s="11" t="str">
        <f>IF(VLOOKUP($A32,Cost_Estimates!$A$3:$AB$189,6,FALSE)="","",VLOOKUP($A32,Cost_Estimates!$A$3:$AB$189,6,FALSE))</f>
        <v>Pontoon walkway connecting Ferry Terminal to the lower Bowen Falls Walkway</v>
      </c>
      <c r="F32" s="14" t="str">
        <f>IF(VLOOKUP($A32,Cost_Estimates!$A$3:$AB$189,7,FALSE)="","",VLOOKUP($A32,Cost_Estimates!$A$3:$AB$189,7,FALSE))</f>
        <v>m</v>
      </c>
      <c r="G32" s="45">
        <f>IF(VLOOKUP($A32,Cost_Estimates!$A$3:$AB$189,9,FALSE)="","",VLOOKUP($A32,Cost_Estimates!$A$3:$AB$189,9,FALSE))</f>
        <v>130</v>
      </c>
      <c r="H32" s="43">
        <f>IF(VLOOKUP($A32,Cost_Estimates!$A$3:$AB$189,20,FALSE)="","",VLOOKUP($A32,Cost_Estimates!$A$3:$AB$189,20,FALSE))</f>
        <v>810000</v>
      </c>
      <c r="I32" s="7">
        <f>IF(VLOOKUP($A32,Cost_Estimates!$A$3:$AB$189,21,FALSE)="","",VLOOKUP($A32,Cost_Estimates!$A$3:$AB$189,21,FALSE))</f>
        <v>0</v>
      </c>
      <c r="J32" s="7">
        <f>IF(VLOOKUP($A32,Cost_Estimates!$A$3:$AB$189,22,FALSE)="","",VLOOKUP($A32,Cost_Estimates!$A$3:$AB$189,22,FALSE))</f>
        <v>2022</v>
      </c>
      <c r="K32" s="7">
        <f>IF(VLOOKUP($A32,Cost_Estimates!$A$3:$AB$189,23,FALSE)="","",VLOOKUP($A32,Cost_Estimates!$A$3:$AB$189,23,FALSE))</f>
        <v>3</v>
      </c>
      <c r="L32" s="7">
        <f>IF(VLOOKUP($A32,Cost_Estimates!$A$3:$AB$189,24,FALSE)="","",VLOOKUP($A32,Cost_Estimates!$A$3:$AB$189,24,FALSE))</f>
        <v>2025</v>
      </c>
      <c r="M32" s="58" t="str">
        <f>IF(VLOOKUP($A32,Cost_Estimates!$A$3:$AB$189,25,FALSE)="","",VLOOKUP($A32,Cost_Estimates!$A$3:$AB$189,25,FALSE))</f>
        <v>Base Option Design Yr 1, Construct Yr 2/3</v>
      </c>
      <c r="N32" s="58" t="str">
        <f>IF(VLOOKUP($A32,Cost_Estimates!$A$3:$AB$189,26,FALSE)="","",VLOOKUP($A32,Cost_Estimates!$A$3:$AB$189,26,FALSE))</f>
        <v/>
      </c>
      <c r="O32" s="14" t="str">
        <f>IF(VLOOKUP($A32,Cost_Estimates!$A$3:$AB$189,27,FALSE)="","",VLOOKUP($A32,Cost_Estimates!$A$3:$AB$189,27,FALSE))</f>
        <v/>
      </c>
      <c r="P32" s="14" t="str">
        <f>IF(VLOOKUP($A32,Cost_Estimates!$A$3:$AB$189,28,FALSE)="","",VLOOKUP($A32,Cost_Estimates!$A$3:$AB$189,28,FALSE))</f>
        <v/>
      </c>
    </row>
    <row r="33" spans="1:16" ht="23.45" customHeight="1" x14ac:dyDescent="0.25">
      <c r="A33" s="83"/>
      <c r="B33" s="83"/>
      <c r="C33" s="84"/>
      <c r="D33" s="83"/>
      <c r="E33" s="84"/>
      <c r="F33" s="83"/>
      <c r="G33" s="86"/>
      <c r="H33" s="87"/>
      <c r="I33" s="86"/>
      <c r="J33" s="86"/>
      <c r="K33" s="86"/>
      <c r="L33" s="86"/>
      <c r="M33" s="89"/>
      <c r="N33" s="89"/>
      <c r="O33" s="83"/>
      <c r="P33" s="83"/>
    </row>
    <row r="34" spans="1:16" ht="60.6" customHeight="1" x14ac:dyDescent="0.25">
      <c r="A34" s="14" t="s">
        <v>453</v>
      </c>
      <c r="B34" s="14" t="str">
        <f>IF(VLOOKUP($A34,Cost_Estimates!$A$3:$AB$189,2,FALSE)="","",VLOOKUP($A34,Cost_Estimates!$A$3:$AB$189,2,FALSE))</f>
        <v>Corridor</v>
      </c>
      <c r="C34" s="11" t="str">
        <f>IF(VLOOKUP($A34,Cost_Estimates!$A$3:$AB$189,4,FALSE)="","",VLOOKUP($A34,Cost_Estimates!$A$3:$AB$189,4,FALSE))</f>
        <v>Knobs flat experience hub</v>
      </c>
      <c r="D34" s="14" t="str">
        <f>IF(VLOOKUP($A34,Cost_Estimates!$A$3:$AB$189,5,FALSE)="","",VLOOKUP($A34,Cost_Estimates!$A$3:$AB$189,5,FALSE))</f>
        <v>Knobs Flat Accomodation - Cabins</v>
      </c>
      <c r="E34" s="11" t="str">
        <f>IF(VLOOKUP($A34,Cost_Estimates!$A$3:$AB$189,6,FALSE)="","",VLOOKUP($A34,Cost_Estimates!$A$3:$AB$189,6,FALSE))</f>
        <v>Basic cabins established at Knobs Flat to complement the existing facilities. Allowing for 4 new structures within the development</v>
      </c>
      <c r="F34" s="14" t="str">
        <f>IF(VLOOKUP($A34,Cost_Estimates!$A$3:$AB$189,7,FALSE)="","",VLOOKUP($A34,Cost_Estimates!$A$3:$AB$189,7,FALSE))</f>
        <v>m2</v>
      </c>
      <c r="G34" s="45">
        <f>IF(VLOOKUP($A34,Cost_Estimates!$A$3:$AB$189,9,FALSE)="","",VLOOKUP($A34,Cost_Estimates!$A$3:$AB$189,9,FALSE))</f>
        <v>330</v>
      </c>
      <c r="H34" s="43">
        <f>IF(VLOOKUP($A34,Cost_Estimates!$A$3:$AB$189,20,FALSE)="","",VLOOKUP($A34,Cost_Estimates!$A$3:$AB$189,20,FALSE))</f>
        <v>2496000</v>
      </c>
      <c r="I34" s="7">
        <f>IF(VLOOKUP($A34,Cost_Estimates!$A$3:$AB$189,21,FALSE)="","",VLOOKUP($A34,Cost_Estimates!$A$3:$AB$189,21,FALSE))</f>
        <v>0</v>
      </c>
      <c r="J34" s="7">
        <f>IF(VLOOKUP($A34,Cost_Estimates!$A$3:$AB$189,22,FALSE)="","",VLOOKUP($A34,Cost_Estimates!$A$3:$AB$189,22,FALSE))</f>
        <v>2022</v>
      </c>
      <c r="K34" s="7">
        <f>IF(VLOOKUP($A34,Cost_Estimates!$A$3:$AB$189,23,FALSE)="","",VLOOKUP($A34,Cost_Estimates!$A$3:$AB$189,23,FALSE))</f>
        <v>3</v>
      </c>
      <c r="L34" s="7">
        <f>IF(VLOOKUP($A34,Cost_Estimates!$A$3:$AB$189,24,FALSE)="","",VLOOKUP($A34,Cost_Estimates!$A$3:$AB$189,24,FALSE))</f>
        <v>2025</v>
      </c>
      <c r="M34" s="58" t="str">
        <f>IF(VLOOKUP($A34,Cost_Estimates!$A$3:$AB$189,25,FALSE)="","",VLOOKUP($A34,Cost_Estimates!$A$3:$AB$189,25,FALSE))</f>
        <v>Base Option Design Yr 1, Construct Yr 2/3</v>
      </c>
      <c r="N34" s="58" t="str">
        <f>IF(VLOOKUP($A34,Cost_Estimates!$A$3:$AB$189,26,FALSE)="","",VLOOKUP($A34,Cost_Estimates!$A$3:$AB$189,26,FALSE))</f>
        <v/>
      </c>
      <c r="O34" s="14" t="str">
        <f>IF(VLOOKUP($A34,Cost_Estimates!$A$3:$AB$189,27,FALSE)="","",VLOOKUP($A34,Cost_Estimates!$A$3:$AB$189,27,FALSE))</f>
        <v/>
      </c>
      <c r="P34" s="14" t="str">
        <f>IF(VLOOKUP($A34,Cost_Estimates!$A$3:$AB$189,28,FALSE)="","",VLOOKUP($A34,Cost_Estimates!$A$3:$AB$189,28,FALSE))</f>
        <v/>
      </c>
    </row>
    <row r="35" spans="1:16" ht="60.6" customHeight="1" x14ac:dyDescent="0.25">
      <c r="A35" s="14" t="s">
        <v>455</v>
      </c>
      <c r="B35" s="14" t="str">
        <f>IF(VLOOKUP($A35,Cost_Estimates!$A$3:$AB$189,2,FALSE)="","",VLOOKUP($A35,Cost_Estimates!$A$3:$AB$189,2,FALSE))</f>
        <v>Corridor</v>
      </c>
      <c r="C35" s="11" t="str">
        <f>IF(VLOOKUP($A35,Cost_Estimates!$A$3:$AB$189,4,FALSE)="","",VLOOKUP($A35,Cost_Estimates!$A$3:$AB$189,4,FALSE))</f>
        <v>Knobs flat experience hub</v>
      </c>
      <c r="D35" s="14" t="str">
        <f>IF(VLOOKUP($A35,Cost_Estimates!$A$3:$AB$189,5,FALSE)="","",VLOOKUP($A35,Cost_Estimates!$A$3:$AB$189,5,FALSE))</f>
        <v>Knobs Flat Accomodation - Camping development</v>
      </c>
      <c r="E35" s="11" t="str">
        <f>IF(VLOOKUP($A35,Cost_Estimates!$A$3:$AB$189,6,FALSE)="","",VLOOKUP($A35,Cost_Estimates!$A$3:$AB$189,6,FALSE))</f>
        <v>Development of the camp offering in the area surrounding the cabins including landscaping and upgraded services / facilities. Non-powered sites</v>
      </c>
      <c r="F35" s="14" t="str">
        <f>IF(VLOOKUP($A35,Cost_Estimates!$A$3:$AB$189,7,FALSE)="","",VLOOKUP($A35,Cost_Estimates!$A$3:$AB$189,7,FALSE))</f>
        <v>m2</v>
      </c>
      <c r="G35" s="45">
        <f>IF(VLOOKUP($A35,Cost_Estimates!$A$3:$AB$189,9,FALSE)="","",VLOOKUP($A35,Cost_Estimates!$A$3:$AB$189,9,FALSE))</f>
        <v>16000</v>
      </c>
      <c r="H35" s="43">
        <f>IF(VLOOKUP($A35,Cost_Estimates!$A$3:$AB$189,20,FALSE)="","",VLOOKUP($A35,Cost_Estimates!$A$3:$AB$189,20,FALSE))</f>
        <v>3865000</v>
      </c>
      <c r="I35" s="7">
        <f>IF(VLOOKUP($A35,Cost_Estimates!$A$3:$AB$189,21,FALSE)="","",VLOOKUP($A35,Cost_Estimates!$A$3:$AB$189,21,FALSE))</f>
        <v>0</v>
      </c>
      <c r="J35" s="7">
        <f>IF(VLOOKUP($A35,Cost_Estimates!$A$3:$AB$189,22,FALSE)="","",VLOOKUP($A35,Cost_Estimates!$A$3:$AB$189,22,FALSE))</f>
        <v>2022</v>
      </c>
      <c r="K35" s="7">
        <f>IF(VLOOKUP($A35,Cost_Estimates!$A$3:$AB$189,23,FALSE)="","",VLOOKUP($A35,Cost_Estimates!$A$3:$AB$189,23,FALSE))</f>
        <v>3</v>
      </c>
      <c r="L35" s="7">
        <f>IF(VLOOKUP($A35,Cost_Estimates!$A$3:$AB$189,24,FALSE)="","",VLOOKUP($A35,Cost_Estimates!$A$3:$AB$189,24,FALSE))</f>
        <v>2025</v>
      </c>
      <c r="M35" s="58" t="str">
        <f>IF(VLOOKUP($A35,Cost_Estimates!$A$3:$AB$189,25,FALSE)="","",VLOOKUP($A35,Cost_Estimates!$A$3:$AB$189,25,FALSE))</f>
        <v>Base Option Design Yr 1, Construct Yr 2/3</v>
      </c>
      <c r="N35" s="58" t="str">
        <f>IF(VLOOKUP($A35,Cost_Estimates!$A$3:$AB$189,26,FALSE)="","",VLOOKUP($A35,Cost_Estimates!$A$3:$AB$189,26,FALSE))</f>
        <v/>
      </c>
      <c r="O35" s="14" t="str">
        <f>IF(VLOOKUP($A35,Cost_Estimates!$A$3:$AB$189,27,FALSE)="","",VLOOKUP($A35,Cost_Estimates!$A$3:$AB$189,27,FALSE))</f>
        <v/>
      </c>
      <c r="P35" s="14" t="str">
        <f>IF(VLOOKUP($A35,Cost_Estimates!$A$3:$AB$189,28,FALSE)="","",VLOOKUP($A35,Cost_Estimates!$A$3:$AB$189,28,FALSE))</f>
        <v/>
      </c>
    </row>
    <row r="36" spans="1:16" ht="60.6" customHeight="1" x14ac:dyDescent="0.25">
      <c r="A36" s="14" t="s">
        <v>471</v>
      </c>
      <c r="B36" s="14" t="str">
        <f>IF(VLOOKUP($A36,Cost_Estimates!$A$3:$AB$189,2,FALSE)="","",VLOOKUP($A36,Cost_Estimates!$A$3:$AB$189,2,FALSE))</f>
        <v>Corridor</v>
      </c>
      <c r="C36" s="11" t="str">
        <f>IF(VLOOKUP($A36,Cost_Estimates!$A$3:$AB$189,4,FALSE)="","",VLOOKUP($A36,Cost_Estimates!$A$3:$AB$189,4,FALSE))</f>
        <v>Knobs flat experience hub</v>
      </c>
      <c r="D36" s="14" t="str">
        <f>IF(VLOOKUP($A36,Cost_Estimates!$A$3:$AB$189,5,FALSE)="","",VLOOKUP($A36,Cost_Estimates!$A$3:$AB$189,5,FALSE))</f>
        <v>Knobs Flat Interpretive Structures</v>
      </c>
      <c r="E36" s="11" t="str">
        <f>IF(VLOOKUP($A36,Cost_Estimates!$A$3:$AB$189,6,FALSE)="","",VLOOKUP($A36,Cost_Estimates!$A$3:$AB$189,6,FALSE))</f>
        <v xml:space="preserve">Facilities located within Knobs Flat providing education / information </v>
      </c>
      <c r="F36" s="14" t="str">
        <f>IF(VLOOKUP($A36,Cost_Estimates!$A$3:$AB$189,7,FALSE)="","",VLOOKUP($A36,Cost_Estimates!$A$3:$AB$189,7,FALSE))</f>
        <v>no.</v>
      </c>
      <c r="G36" s="45">
        <f>IF(VLOOKUP($A36,Cost_Estimates!$A$3:$AB$189,9,FALSE)="","",VLOOKUP($A36,Cost_Estimates!$A$3:$AB$189,9,FALSE))</f>
        <v>2</v>
      </c>
      <c r="H36" s="43">
        <f>IF(VLOOKUP($A36,Cost_Estimates!$A$3:$AB$189,20,FALSE)="","",VLOOKUP($A36,Cost_Estimates!$A$3:$AB$189,20,FALSE))</f>
        <v>1401000</v>
      </c>
      <c r="I36" s="7">
        <f>IF(VLOOKUP($A36,Cost_Estimates!$A$3:$AB$189,21,FALSE)="","",VLOOKUP($A36,Cost_Estimates!$A$3:$AB$189,21,FALSE))</f>
        <v>15</v>
      </c>
      <c r="J36" s="7">
        <f>IF(VLOOKUP($A36,Cost_Estimates!$A$3:$AB$189,22,FALSE)="","",VLOOKUP($A36,Cost_Estimates!$A$3:$AB$189,22,FALSE))</f>
        <v>2037</v>
      </c>
      <c r="K36" s="7">
        <f>IF(VLOOKUP($A36,Cost_Estimates!$A$3:$AB$189,23,FALSE)="","",VLOOKUP($A36,Cost_Estimates!$A$3:$AB$189,23,FALSE))</f>
        <v>2</v>
      </c>
      <c r="L36" s="7">
        <f>IF(VLOOKUP($A36,Cost_Estimates!$A$3:$AB$189,24,FALSE)="","",VLOOKUP($A36,Cost_Estimates!$A$3:$AB$189,24,FALSE))</f>
        <v>2039</v>
      </c>
      <c r="M36" s="58" t="str">
        <f>IF(VLOOKUP($A36,Cost_Estimates!$A$3:$AB$189,25,FALSE)="","",VLOOKUP($A36,Cost_Estimates!$A$3:$AB$189,25,FALSE))</f>
        <v>As funding permits, developed with balance of  site</v>
      </c>
      <c r="N36" s="58" t="str">
        <f>IF(VLOOKUP($A36,Cost_Estimates!$A$3:$AB$189,26,FALSE)="","",VLOOKUP($A36,Cost_Estimates!$A$3:$AB$189,26,FALSE))</f>
        <v/>
      </c>
      <c r="O36" s="14" t="str">
        <f>IF(VLOOKUP($A36,Cost_Estimates!$A$3:$AB$189,27,FALSE)="","",VLOOKUP($A36,Cost_Estimates!$A$3:$AB$189,27,FALSE))</f>
        <v/>
      </c>
      <c r="P36" s="14" t="str">
        <f>IF(VLOOKUP($A36,Cost_Estimates!$A$3:$AB$189,28,FALSE)="","",VLOOKUP($A36,Cost_Estimates!$A$3:$AB$189,28,FALSE))</f>
        <v>Do we need to include annual DOC ongoing costs for track maintenance on existing tracks (and any other DOC functions)???</v>
      </c>
    </row>
    <row r="37" spans="1:16" ht="60.6" customHeight="1" x14ac:dyDescent="0.25">
      <c r="A37" s="14" t="s">
        <v>472</v>
      </c>
      <c r="B37" s="14" t="str">
        <f>IF(VLOOKUP($A37,Cost_Estimates!$A$3:$AB$189,2,FALSE)="","",VLOOKUP($A37,Cost_Estimates!$A$3:$AB$189,2,FALSE))</f>
        <v>Corridor</v>
      </c>
      <c r="C37" s="11" t="str">
        <f>IF(VLOOKUP($A37,Cost_Estimates!$A$3:$AB$189,4,FALSE)="","",VLOOKUP($A37,Cost_Estimates!$A$3:$AB$189,4,FALSE))</f>
        <v>Knobs flat experience hub</v>
      </c>
      <c r="D37" s="14" t="str">
        <f>IF(VLOOKUP($A37,Cost_Estimates!$A$3:$AB$189,5,FALSE)="","",VLOOKUP($A37,Cost_Estimates!$A$3:$AB$189,5,FALSE))</f>
        <v>Knobs Flat Interpretive Building</v>
      </c>
      <c r="E37" s="11" t="str">
        <f>IF(VLOOKUP($A37,Cost_Estimates!$A$3:$AB$189,6,FALSE)="","",VLOOKUP($A37,Cost_Estimates!$A$3:$AB$189,6,FALSE))</f>
        <v>Interpretive building providing temporary shelter, hall style with single level to potentially act as a community facility</v>
      </c>
      <c r="F37" s="14" t="str">
        <f>IF(VLOOKUP($A37,Cost_Estimates!$A$3:$AB$189,7,FALSE)="","",VLOOKUP($A37,Cost_Estimates!$A$3:$AB$189,7,FALSE))</f>
        <v>m2</v>
      </c>
      <c r="G37" s="45">
        <f>IF(VLOOKUP($A37,Cost_Estimates!$A$3:$AB$189,9,FALSE)="","",VLOOKUP($A37,Cost_Estimates!$A$3:$AB$189,9,FALSE))</f>
        <v>100</v>
      </c>
      <c r="H37" s="43">
        <f>IF(VLOOKUP($A37,Cost_Estimates!$A$3:$AB$189,20,FALSE)="","",VLOOKUP($A37,Cost_Estimates!$A$3:$AB$189,20,FALSE))</f>
        <v>731000</v>
      </c>
      <c r="I37" s="7">
        <f>IF(VLOOKUP($A37,Cost_Estimates!$A$3:$AB$189,21,FALSE)="","",VLOOKUP($A37,Cost_Estimates!$A$3:$AB$189,21,FALSE))</f>
        <v>15</v>
      </c>
      <c r="J37" s="7">
        <f>IF(VLOOKUP($A37,Cost_Estimates!$A$3:$AB$189,22,FALSE)="","",VLOOKUP($A37,Cost_Estimates!$A$3:$AB$189,22,FALSE))</f>
        <v>2037</v>
      </c>
      <c r="K37" s="7">
        <f>IF(VLOOKUP($A37,Cost_Estimates!$A$3:$AB$189,23,FALSE)="","",VLOOKUP($A37,Cost_Estimates!$A$3:$AB$189,23,FALSE))</f>
        <v>2</v>
      </c>
      <c r="L37" s="7">
        <f>IF(VLOOKUP($A37,Cost_Estimates!$A$3:$AB$189,24,FALSE)="","",VLOOKUP($A37,Cost_Estimates!$A$3:$AB$189,24,FALSE))</f>
        <v>2039</v>
      </c>
      <c r="M37" s="58" t="str">
        <f>IF(VLOOKUP($A37,Cost_Estimates!$A$3:$AB$189,25,FALSE)="","",VLOOKUP($A37,Cost_Estimates!$A$3:$AB$189,25,FALSE))</f>
        <v>As funding permits, developed with balance of  site</v>
      </c>
      <c r="N37" s="58" t="str">
        <f>IF(VLOOKUP($A37,Cost_Estimates!$A$3:$AB$189,26,FALSE)="","",VLOOKUP($A37,Cost_Estimates!$A$3:$AB$189,26,FALSE))</f>
        <v/>
      </c>
      <c r="O37" s="14" t="str">
        <f>IF(VLOOKUP($A37,Cost_Estimates!$A$3:$AB$189,27,FALSE)="","",VLOOKUP($A37,Cost_Estimates!$A$3:$AB$189,27,FALSE))</f>
        <v/>
      </c>
      <c r="P37" s="14" t="str">
        <f>IF(VLOOKUP($A37,Cost_Estimates!$A$3:$AB$189,28,FALSE)="","",VLOOKUP($A37,Cost_Estimates!$A$3:$AB$189,28,FALSE))</f>
        <v>Do we need to include annual DOC ongoing costs for track maintenance on existing tracks (and any other DOC functions)???</v>
      </c>
    </row>
    <row r="38" spans="1:16" ht="60.6" customHeight="1" x14ac:dyDescent="0.25">
      <c r="A38" s="14" t="s">
        <v>473</v>
      </c>
      <c r="B38" s="14" t="str">
        <f>IF(VLOOKUP($A38,Cost_Estimates!$A$3:$AB$189,2,FALSE)="","",VLOOKUP($A38,Cost_Estimates!$A$3:$AB$189,2,FALSE))</f>
        <v>Corridor</v>
      </c>
      <c r="C38" s="11" t="str">
        <f>IF(VLOOKUP($A38,Cost_Estimates!$A$3:$AB$189,4,FALSE)="","",VLOOKUP($A38,Cost_Estimates!$A$3:$AB$189,4,FALSE))</f>
        <v>Knobs flat experience hub</v>
      </c>
      <c r="D38" s="14" t="str">
        <f>IF(VLOOKUP($A38,Cost_Estimates!$A$3:$AB$189,5,FALSE)="","",VLOOKUP($A38,Cost_Estimates!$A$3:$AB$189,5,FALSE))</f>
        <v>Knobs Flat Walking Track - Abled Body</v>
      </c>
      <c r="E38" s="11" t="str">
        <f>IF(VLOOKUP($A38,Cost_Estimates!$A$3:$AB$189,6,FALSE)="","",VLOOKUP($A38,Cost_Estimates!$A$3:$AB$189,6,FALSE))</f>
        <v>Great Walks Style of Track (ref DOC estimates, cutting into virgin terrain, variable conditions and hazards)</v>
      </c>
      <c r="F38" s="14" t="str">
        <f>IF(VLOOKUP($A38,Cost_Estimates!$A$3:$AB$189,7,FALSE)="","",VLOOKUP($A38,Cost_Estimates!$A$3:$AB$189,7,FALSE))</f>
        <v>m</v>
      </c>
      <c r="G38" s="45">
        <f>IF(VLOOKUP($A38,Cost_Estimates!$A$3:$AB$189,9,FALSE)="","",VLOOKUP($A38,Cost_Estimates!$A$3:$AB$189,9,FALSE))</f>
        <v>2400</v>
      </c>
      <c r="H38" s="43">
        <f>IF(VLOOKUP($A38,Cost_Estimates!$A$3:$AB$189,20,FALSE)="","",VLOOKUP($A38,Cost_Estimates!$A$3:$AB$189,20,FALSE))</f>
        <v>1949000</v>
      </c>
      <c r="I38" s="7">
        <f>IF(VLOOKUP($A38,Cost_Estimates!$A$3:$AB$189,21,FALSE)="","",VLOOKUP($A38,Cost_Estimates!$A$3:$AB$189,21,FALSE))</f>
        <v>15</v>
      </c>
      <c r="J38" s="7">
        <f>IF(VLOOKUP($A38,Cost_Estimates!$A$3:$AB$189,22,FALSE)="","",VLOOKUP($A38,Cost_Estimates!$A$3:$AB$189,22,FALSE))</f>
        <v>2037</v>
      </c>
      <c r="K38" s="7">
        <f>IF(VLOOKUP($A38,Cost_Estimates!$A$3:$AB$189,23,FALSE)="","",VLOOKUP($A38,Cost_Estimates!$A$3:$AB$189,23,FALSE))</f>
        <v>2</v>
      </c>
      <c r="L38" s="7">
        <f>IF(VLOOKUP($A38,Cost_Estimates!$A$3:$AB$189,24,FALSE)="","",VLOOKUP($A38,Cost_Estimates!$A$3:$AB$189,24,FALSE))</f>
        <v>2039</v>
      </c>
      <c r="M38" s="58" t="str">
        <f>IF(VLOOKUP($A38,Cost_Estimates!$A$3:$AB$189,25,FALSE)="","",VLOOKUP($A38,Cost_Estimates!$A$3:$AB$189,25,FALSE))</f>
        <v>As funding permits, developed with balance of  site</v>
      </c>
      <c r="N38" s="58" t="str">
        <f>IF(VLOOKUP($A38,Cost_Estimates!$A$3:$AB$189,26,FALSE)="","",VLOOKUP($A38,Cost_Estimates!$A$3:$AB$189,26,FALSE))</f>
        <v/>
      </c>
      <c r="O38" s="14" t="str">
        <f>IF(VLOOKUP($A38,Cost_Estimates!$A$3:$AB$189,27,FALSE)="","",VLOOKUP($A38,Cost_Estimates!$A$3:$AB$189,27,FALSE))</f>
        <v/>
      </c>
      <c r="P38" s="14" t="str">
        <f>IF(VLOOKUP($A38,Cost_Estimates!$A$3:$AB$189,28,FALSE)="","",VLOOKUP($A38,Cost_Estimates!$A$3:$AB$189,28,FALSE))</f>
        <v>Do we need to include annual DOC ongoing costs for track maintenance on existing tracks (and any other DOC functions)???</v>
      </c>
    </row>
    <row r="39" spans="1:16" ht="60.6" customHeight="1" x14ac:dyDescent="0.25">
      <c r="A39" s="14" t="s">
        <v>474</v>
      </c>
      <c r="B39" s="14" t="str">
        <f>IF(VLOOKUP($A39,Cost_Estimates!$A$3:$AB$189,2,FALSE)="","",VLOOKUP($A39,Cost_Estimates!$A$3:$AB$189,2,FALSE))</f>
        <v>Corridor</v>
      </c>
      <c r="C39" s="11" t="str">
        <f>IF(VLOOKUP($A39,Cost_Estimates!$A$3:$AB$189,4,FALSE)="","",VLOOKUP($A39,Cost_Estimates!$A$3:$AB$189,4,FALSE))</f>
        <v>Knobs flat experience hub</v>
      </c>
      <c r="D39" s="14" t="str">
        <f>IF(VLOOKUP($A39,Cost_Estimates!$A$3:$AB$189,5,FALSE)="","",VLOOKUP($A39,Cost_Estimates!$A$3:$AB$189,5,FALSE))</f>
        <v>Knobs Flat Walking Track - Accessible</v>
      </c>
      <c r="E39" s="11" t="str">
        <f>IF(VLOOKUP($A39,Cost_Estimates!$A$3:$AB$189,6,FALSE)="","",VLOOKUP($A39,Cost_Estimates!$A$3:$AB$189,6,FALSE))</f>
        <v>Wheelchair accessible Track (assumes establishment on existing cut, ease of access and flat @ Knobs Flat)</v>
      </c>
      <c r="F39" s="14" t="str">
        <f>IF(VLOOKUP($A39,Cost_Estimates!$A$3:$AB$189,7,FALSE)="","",VLOOKUP($A39,Cost_Estimates!$A$3:$AB$189,7,FALSE))</f>
        <v>m</v>
      </c>
      <c r="G39" s="45">
        <f>IF(VLOOKUP($A39,Cost_Estimates!$A$3:$AB$189,9,FALSE)="","",VLOOKUP($A39,Cost_Estimates!$A$3:$AB$189,9,FALSE))</f>
        <v>1000</v>
      </c>
      <c r="H39" s="43">
        <f>IF(VLOOKUP($A39,Cost_Estimates!$A$3:$AB$189,20,FALSE)="","",VLOOKUP($A39,Cost_Estimates!$A$3:$AB$189,20,FALSE))</f>
        <v>569000</v>
      </c>
      <c r="I39" s="7">
        <f>IF(VLOOKUP($A39,Cost_Estimates!$A$3:$AB$189,21,FALSE)="","",VLOOKUP($A39,Cost_Estimates!$A$3:$AB$189,21,FALSE))</f>
        <v>15</v>
      </c>
      <c r="J39" s="7">
        <f>IF(VLOOKUP($A39,Cost_Estimates!$A$3:$AB$189,22,FALSE)="","",VLOOKUP($A39,Cost_Estimates!$A$3:$AB$189,22,FALSE))</f>
        <v>2037</v>
      </c>
      <c r="K39" s="7">
        <f>IF(VLOOKUP($A39,Cost_Estimates!$A$3:$AB$189,23,FALSE)="","",VLOOKUP($A39,Cost_Estimates!$A$3:$AB$189,23,FALSE))</f>
        <v>2</v>
      </c>
      <c r="L39" s="7">
        <f>IF(VLOOKUP($A39,Cost_Estimates!$A$3:$AB$189,24,FALSE)="","",VLOOKUP($A39,Cost_Estimates!$A$3:$AB$189,24,FALSE))</f>
        <v>2039</v>
      </c>
      <c r="M39" s="58" t="str">
        <f>IF(VLOOKUP($A39,Cost_Estimates!$A$3:$AB$189,25,FALSE)="","",VLOOKUP($A39,Cost_Estimates!$A$3:$AB$189,25,FALSE))</f>
        <v>As funding permits, developed with balance of  site</v>
      </c>
      <c r="N39" s="58" t="str">
        <f>IF(VLOOKUP($A39,Cost_Estimates!$A$3:$AB$189,26,FALSE)="","",VLOOKUP($A39,Cost_Estimates!$A$3:$AB$189,26,FALSE))</f>
        <v/>
      </c>
      <c r="O39" s="14" t="str">
        <f>IF(VLOOKUP($A39,Cost_Estimates!$A$3:$AB$189,27,FALSE)="","",VLOOKUP($A39,Cost_Estimates!$A$3:$AB$189,27,FALSE))</f>
        <v/>
      </c>
      <c r="P39" s="14" t="str">
        <f>IF(VLOOKUP($A39,Cost_Estimates!$A$3:$AB$189,28,FALSE)="","",VLOOKUP($A39,Cost_Estimates!$A$3:$AB$189,28,FALSE))</f>
        <v>Do we need to include annual DOC ongoing costs for track maintenance on existing tracks (and any other DOC functions)???</v>
      </c>
    </row>
    <row r="40" spans="1:16" ht="60.6" customHeight="1" x14ac:dyDescent="0.25">
      <c r="A40" s="14" t="s">
        <v>475</v>
      </c>
      <c r="B40" s="14" t="str">
        <f>IF(VLOOKUP($A40,Cost_Estimates!$A$3:$AB$189,2,FALSE)="","",VLOOKUP($A40,Cost_Estimates!$A$3:$AB$189,2,FALSE))</f>
        <v>Corridor</v>
      </c>
      <c r="C40" s="11" t="str">
        <f>IF(VLOOKUP($A40,Cost_Estimates!$A$3:$AB$189,4,FALSE)="","",VLOOKUP($A40,Cost_Estimates!$A$3:$AB$189,4,FALSE))</f>
        <v>Knobs flat experience hub</v>
      </c>
      <c r="D40" s="14" t="str">
        <f>IF(VLOOKUP($A40,Cost_Estimates!$A$3:$AB$189,5,FALSE)="","",VLOOKUP($A40,Cost_Estimates!$A$3:$AB$189,5,FALSE))</f>
        <v>Services - Potable Water</v>
      </c>
      <c r="E40" s="11" t="str">
        <f>IF(VLOOKUP($A40,Cost_Estimates!$A$3:$AB$189,6,FALSE)="","",VLOOKUP($A40,Cost_Estimates!$A$3:$AB$189,6,FALSE))</f>
        <v>Additions to the existing potable water distribution network to support proposed development</v>
      </c>
      <c r="F40" s="14" t="str">
        <f>IF(VLOOKUP($A40,Cost_Estimates!$A$3:$AB$189,7,FALSE)="","",VLOOKUP($A40,Cost_Estimates!$A$3:$AB$189,7,FALSE))</f>
        <v/>
      </c>
      <c r="G40" s="45" t="str">
        <f>IF(VLOOKUP($A40,Cost_Estimates!$A$3:$AB$189,9,FALSE)="","",VLOOKUP($A40,Cost_Estimates!$A$3:$AB$189,9,FALSE))</f>
        <v/>
      </c>
      <c r="H40" s="43">
        <f>IF(VLOOKUP($A40,Cost_Estimates!$A$3:$AB$189,20,FALSE)="","",VLOOKUP($A40,Cost_Estimates!$A$3:$AB$189,20,FALSE))</f>
        <v>233000</v>
      </c>
      <c r="I40" s="7" t="str">
        <f>IF(VLOOKUP($A40,Cost_Estimates!$A$3:$AB$189,21,FALSE)="","",VLOOKUP($A40,Cost_Estimates!$A$3:$AB$189,21,FALSE))</f>
        <v/>
      </c>
      <c r="J40" s="7" t="str">
        <f>IF(VLOOKUP($A40,Cost_Estimates!$A$3:$AB$189,22,FALSE)="","",VLOOKUP($A40,Cost_Estimates!$A$3:$AB$189,22,FALSE))</f>
        <v/>
      </c>
      <c r="K40" s="7" t="str">
        <f>IF(VLOOKUP($A40,Cost_Estimates!$A$3:$AB$189,23,FALSE)="","",VLOOKUP($A40,Cost_Estimates!$A$3:$AB$189,23,FALSE))</f>
        <v/>
      </c>
      <c r="L40" s="7" t="str">
        <f>IF(VLOOKUP($A40,Cost_Estimates!$A$3:$AB$189,24,FALSE)="","",VLOOKUP($A40,Cost_Estimates!$A$3:$AB$189,24,FALSE))</f>
        <v/>
      </c>
      <c r="M40" s="58" t="str">
        <f>IF(VLOOKUP($A40,Cost_Estimates!$A$3:$AB$189,25,FALSE)="","",VLOOKUP($A40,Cost_Estimates!$A$3:$AB$189,25,FALSE))</f>
        <v/>
      </c>
      <c r="N40" s="58" t="str">
        <f>IF(VLOOKUP($A40,Cost_Estimates!$A$3:$AB$189,26,FALSE)="","",VLOOKUP($A40,Cost_Estimates!$A$3:$AB$189,26,FALSE))</f>
        <v/>
      </c>
      <c r="O40" s="14" t="str">
        <f>IF(VLOOKUP($A40,Cost_Estimates!$A$3:$AB$189,27,FALSE)="","",VLOOKUP($A40,Cost_Estimates!$A$3:$AB$189,27,FALSE))</f>
        <v/>
      </c>
      <c r="P40" s="14" t="str">
        <f>IF(VLOOKUP($A40,Cost_Estimates!$A$3:$AB$189,28,FALSE)="","",VLOOKUP($A40,Cost_Estimates!$A$3:$AB$189,28,FALSE))</f>
        <v/>
      </c>
    </row>
    <row r="41" spans="1:16" ht="60.6" customHeight="1" x14ac:dyDescent="0.25">
      <c r="A41" s="14" t="s">
        <v>476</v>
      </c>
      <c r="B41" s="14" t="str">
        <f>IF(VLOOKUP($A41,Cost_Estimates!$A$3:$AB$189,2,FALSE)="","",VLOOKUP($A41,Cost_Estimates!$A$3:$AB$189,2,FALSE))</f>
        <v>Corridor</v>
      </c>
      <c r="C41" s="11" t="str">
        <f>IF(VLOOKUP($A41,Cost_Estimates!$A$3:$AB$189,4,FALSE)="","",VLOOKUP($A41,Cost_Estimates!$A$3:$AB$189,4,FALSE))</f>
        <v>Knobs flat experience hub</v>
      </c>
      <c r="D41" s="14" t="str">
        <f>IF(VLOOKUP($A41,Cost_Estimates!$A$3:$AB$189,5,FALSE)="","",VLOOKUP($A41,Cost_Estimates!$A$3:$AB$189,5,FALSE))</f>
        <v>Services - Wastewater</v>
      </c>
      <c r="E41" s="11" t="str">
        <f>IF(VLOOKUP($A41,Cost_Estimates!$A$3:$AB$189,6,FALSE)="","",VLOOKUP($A41,Cost_Estimates!$A$3:$AB$189,6,FALSE))</f>
        <v>Additions to the existing wastewater collection network to support proposed development, including new toilet block and enhancement of treatment</v>
      </c>
      <c r="F41" s="14" t="str">
        <f>IF(VLOOKUP($A41,Cost_Estimates!$A$3:$AB$189,7,FALSE)="","",VLOOKUP($A41,Cost_Estimates!$A$3:$AB$189,7,FALSE))</f>
        <v/>
      </c>
      <c r="G41" s="45" t="str">
        <f>IF(VLOOKUP($A41,Cost_Estimates!$A$3:$AB$189,9,FALSE)="","",VLOOKUP($A41,Cost_Estimates!$A$3:$AB$189,9,FALSE))</f>
        <v/>
      </c>
      <c r="H41" s="43">
        <f>IF(VLOOKUP($A41,Cost_Estimates!$A$3:$AB$189,20,FALSE)="","",VLOOKUP($A41,Cost_Estimates!$A$3:$AB$189,20,FALSE))</f>
        <v>868000</v>
      </c>
      <c r="I41" s="7" t="str">
        <f>IF(VLOOKUP($A41,Cost_Estimates!$A$3:$AB$189,21,FALSE)="","",VLOOKUP($A41,Cost_Estimates!$A$3:$AB$189,21,FALSE))</f>
        <v/>
      </c>
      <c r="J41" s="7" t="str">
        <f>IF(VLOOKUP($A41,Cost_Estimates!$A$3:$AB$189,22,FALSE)="","",VLOOKUP($A41,Cost_Estimates!$A$3:$AB$189,22,FALSE))</f>
        <v/>
      </c>
      <c r="K41" s="7" t="str">
        <f>IF(VLOOKUP($A41,Cost_Estimates!$A$3:$AB$189,23,FALSE)="","",VLOOKUP($A41,Cost_Estimates!$A$3:$AB$189,23,FALSE))</f>
        <v/>
      </c>
      <c r="L41" s="7" t="str">
        <f>IF(VLOOKUP($A41,Cost_Estimates!$A$3:$AB$189,24,FALSE)="","",VLOOKUP($A41,Cost_Estimates!$A$3:$AB$189,24,FALSE))</f>
        <v/>
      </c>
      <c r="M41" s="58" t="str">
        <f>IF(VLOOKUP($A41,Cost_Estimates!$A$3:$AB$189,25,FALSE)="","",VLOOKUP($A41,Cost_Estimates!$A$3:$AB$189,25,FALSE))</f>
        <v/>
      </c>
      <c r="N41" s="58" t="str">
        <f>IF(VLOOKUP($A41,Cost_Estimates!$A$3:$AB$189,26,FALSE)="","",VLOOKUP($A41,Cost_Estimates!$A$3:$AB$189,26,FALSE))</f>
        <v/>
      </c>
      <c r="O41" s="14" t="str">
        <f>IF(VLOOKUP($A41,Cost_Estimates!$A$3:$AB$189,27,FALSE)="","",VLOOKUP($A41,Cost_Estimates!$A$3:$AB$189,27,FALSE))</f>
        <v/>
      </c>
      <c r="P41" s="14" t="str">
        <f>IF(VLOOKUP($A41,Cost_Estimates!$A$3:$AB$189,28,FALSE)="","",VLOOKUP($A41,Cost_Estimates!$A$3:$AB$189,28,FALSE))</f>
        <v/>
      </c>
    </row>
    <row r="42" spans="1:16" ht="60.6" customHeight="1" x14ac:dyDescent="0.25">
      <c r="A42" s="14" t="s">
        <v>477</v>
      </c>
      <c r="B42" s="14" t="str">
        <f>IF(VLOOKUP($A42,Cost_Estimates!$A$3:$AB$189,2,FALSE)="","",VLOOKUP($A42,Cost_Estimates!$A$3:$AB$189,2,FALSE))</f>
        <v>Corridor</v>
      </c>
      <c r="C42" s="11" t="str">
        <f>IF(VLOOKUP($A42,Cost_Estimates!$A$3:$AB$189,4,FALSE)="","",VLOOKUP($A42,Cost_Estimates!$A$3:$AB$189,4,FALSE))</f>
        <v>Knobs flat accommodation hub</v>
      </c>
      <c r="D42" s="14" t="str">
        <f>IF(VLOOKUP($A42,Cost_Estimates!$A$3:$AB$189,5,FALSE)="","",VLOOKUP($A42,Cost_Estimates!$A$3:$AB$189,5,FALSE))</f>
        <v>Kiosk Creek Accomodation - Lodge</v>
      </c>
      <c r="E42" s="11" t="str">
        <f>IF(VLOOKUP($A42,Cost_Estimates!$A$3:$AB$189,6,FALSE)="","",VLOOKUP($A42,Cost_Estimates!$A$3:$AB$189,6,FALSE))</f>
        <v>25 bed (assumed 30% of footprint of accommodation at Piopiotahi) at Kiosk Creek. Will have limitations due to ability to service.</v>
      </c>
      <c r="F42" s="14" t="str">
        <f>IF(VLOOKUP($A42,Cost_Estimates!$A$3:$AB$189,7,FALSE)="","",VLOOKUP($A42,Cost_Estimates!$A$3:$AB$189,7,FALSE))</f>
        <v>m2</v>
      </c>
      <c r="G42" s="45">
        <f>IF(VLOOKUP($A42,Cost_Estimates!$A$3:$AB$189,9,FALSE)="","",VLOOKUP($A42,Cost_Estimates!$A$3:$AB$189,9,FALSE))</f>
        <v>462</v>
      </c>
      <c r="H42" s="43">
        <f>IF(VLOOKUP($A42,Cost_Estimates!$A$3:$AB$189,20,FALSE)="","",VLOOKUP($A42,Cost_Estimates!$A$3:$AB$189,20,FALSE))</f>
        <v>5629000</v>
      </c>
      <c r="I42" s="7">
        <f>IF(VLOOKUP($A42,Cost_Estimates!$A$3:$AB$189,21,FALSE)="","",VLOOKUP($A42,Cost_Estimates!$A$3:$AB$189,21,FALSE))</f>
        <v>15</v>
      </c>
      <c r="J42" s="7">
        <f>IF(VLOOKUP($A42,Cost_Estimates!$A$3:$AB$189,22,FALSE)="","",VLOOKUP($A42,Cost_Estimates!$A$3:$AB$189,22,FALSE))</f>
        <v>2037</v>
      </c>
      <c r="K42" s="7">
        <f>IF(VLOOKUP($A42,Cost_Estimates!$A$3:$AB$189,23,FALSE)="","",VLOOKUP($A42,Cost_Estimates!$A$3:$AB$189,23,FALSE))</f>
        <v>2</v>
      </c>
      <c r="L42" s="7">
        <f>IF(VLOOKUP($A42,Cost_Estimates!$A$3:$AB$189,24,FALSE)="","",VLOOKUP($A42,Cost_Estimates!$A$3:$AB$189,24,FALSE))</f>
        <v>2039</v>
      </c>
      <c r="M42" s="58" t="str">
        <f>IF(VLOOKUP($A42,Cost_Estimates!$A$3:$AB$189,25,FALSE)="","",VLOOKUP($A42,Cost_Estimates!$A$3:$AB$189,25,FALSE))</f>
        <v>As funding permits, developed with balance of  site</v>
      </c>
      <c r="N42" s="58" t="str">
        <f>IF(VLOOKUP($A42,Cost_Estimates!$A$3:$AB$189,26,FALSE)="","",VLOOKUP($A42,Cost_Estimates!$A$3:$AB$189,26,FALSE))</f>
        <v/>
      </c>
      <c r="O42" s="14" t="str">
        <f>IF(VLOOKUP($A42,Cost_Estimates!$A$3:$AB$189,27,FALSE)="","",VLOOKUP($A42,Cost_Estimates!$A$3:$AB$189,27,FALSE))</f>
        <v/>
      </c>
      <c r="P42" s="14" t="str">
        <f>IF(VLOOKUP($A42,Cost_Estimates!$A$3:$AB$189,28,FALSE)="","",VLOOKUP($A42,Cost_Estimates!$A$3:$AB$189,28,FALSE))</f>
        <v/>
      </c>
    </row>
    <row r="43" spans="1:16" ht="60.6" customHeight="1" x14ac:dyDescent="0.25">
      <c r="A43" s="14" t="s">
        <v>454</v>
      </c>
      <c r="B43" s="14" t="str">
        <f>IF(VLOOKUP($A43,Cost_Estimates!$A$3:$AB$189,2,FALSE)="","",VLOOKUP($A43,Cost_Estimates!$A$3:$AB$189,2,FALSE))</f>
        <v>Corridor</v>
      </c>
      <c r="C43" s="11" t="str">
        <f>IF(VLOOKUP($A43,Cost_Estimates!$A$3:$AB$189,4,FALSE)="","",VLOOKUP($A43,Cost_Estimates!$A$3:$AB$189,4,FALSE))</f>
        <v>Knobs flat accommodation hub</v>
      </c>
      <c r="D43" s="14" t="str">
        <f>IF(VLOOKUP($A43,Cost_Estimates!$A$3:$AB$189,5,FALSE)="","",VLOOKUP($A43,Cost_Estimates!$A$3:$AB$189,5,FALSE))</f>
        <v>Kiosk Creek Accomodation - Wastewater</v>
      </c>
      <c r="E43" s="11" t="str">
        <f>IF(VLOOKUP($A43,Cost_Estimates!$A$3:$AB$189,6,FALSE)="","",VLOOKUP($A43,Cost_Estimates!$A$3:$AB$189,6,FALSE))</f>
        <v>Wastwater treatment system based on small catchment and disposal to ground, noting that there are poor  conditions and a vaulted system may be required.</v>
      </c>
      <c r="F43" s="14" t="str">
        <f>IF(VLOOKUP($A43,Cost_Estimates!$A$3:$AB$189,7,FALSE)="","",VLOOKUP($A43,Cost_Estimates!$A$3:$AB$189,7,FALSE))</f>
        <v>no.</v>
      </c>
      <c r="G43" s="45">
        <f>IF(VLOOKUP($A43,Cost_Estimates!$A$3:$AB$189,9,FALSE)="","",VLOOKUP($A43,Cost_Estimates!$A$3:$AB$189,9,FALSE))</f>
        <v>1</v>
      </c>
      <c r="H43" s="43">
        <f>IF(VLOOKUP($A43,Cost_Estimates!$A$3:$AB$189,20,FALSE)="","",VLOOKUP($A43,Cost_Estimates!$A$3:$AB$189,20,FALSE))</f>
        <v>2415000</v>
      </c>
      <c r="I43" s="7">
        <f>IF(VLOOKUP($A43,Cost_Estimates!$A$3:$AB$189,21,FALSE)="","",VLOOKUP($A43,Cost_Estimates!$A$3:$AB$189,21,FALSE))</f>
        <v>15</v>
      </c>
      <c r="J43" s="7">
        <f>IF(VLOOKUP($A43,Cost_Estimates!$A$3:$AB$189,22,FALSE)="","",VLOOKUP($A43,Cost_Estimates!$A$3:$AB$189,22,FALSE))</f>
        <v>2037</v>
      </c>
      <c r="K43" s="7">
        <f>IF(VLOOKUP($A43,Cost_Estimates!$A$3:$AB$189,23,FALSE)="","",VLOOKUP($A43,Cost_Estimates!$A$3:$AB$189,23,FALSE))</f>
        <v>2</v>
      </c>
      <c r="L43" s="7">
        <f>IF(VLOOKUP($A43,Cost_Estimates!$A$3:$AB$189,24,FALSE)="","",VLOOKUP($A43,Cost_Estimates!$A$3:$AB$189,24,FALSE))</f>
        <v>2039</v>
      </c>
      <c r="M43" s="58" t="str">
        <f>IF(VLOOKUP($A43,Cost_Estimates!$A$3:$AB$189,25,FALSE)="","",VLOOKUP($A43,Cost_Estimates!$A$3:$AB$189,25,FALSE))</f>
        <v>As funding permits, developed with balance of  site</v>
      </c>
      <c r="N43" s="58" t="str">
        <f>IF(VLOOKUP($A43,Cost_Estimates!$A$3:$AB$189,26,FALSE)="","",VLOOKUP($A43,Cost_Estimates!$A$3:$AB$189,26,FALSE))</f>
        <v/>
      </c>
      <c r="O43" s="14" t="str">
        <f>IF(VLOOKUP($A43,Cost_Estimates!$A$3:$AB$189,27,FALSE)="","",VLOOKUP($A43,Cost_Estimates!$A$3:$AB$189,27,FALSE))</f>
        <v/>
      </c>
      <c r="P43" s="14" t="str">
        <f>IF(VLOOKUP($A43,Cost_Estimates!$A$3:$AB$189,28,FALSE)="","",VLOOKUP($A43,Cost_Estimates!$A$3:$AB$189,28,FALSE))</f>
        <v/>
      </c>
    </row>
    <row r="44" spans="1:16" ht="60.6" customHeight="1" x14ac:dyDescent="0.25">
      <c r="A44" s="14" t="s">
        <v>478</v>
      </c>
      <c r="B44" s="14" t="str">
        <f>IF(VLOOKUP($A44,Cost_Estimates!$A$3:$AB$189,2,FALSE)="","",VLOOKUP($A44,Cost_Estimates!$A$3:$AB$189,2,FALSE))</f>
        <v>Corridor</v>
      </c>
      <c r="C44" s="11" t="str">
        <f>IF(VLOOKUP($A44,Cost_Estimates!$A$3:$AB$189,4,FALSE)="","",VLOOKUP($A44,Cost_Estimates!$A$3:$AB$189,4,FALSE))</f>
        <v>Knobs flat experience hub</v>
      </c>
      <c r="D44" s="14" t="str">
        <f>IF(VLOOKUP($A44,Cost_Estimates!$A$3:$AB$189,5,FALSE)="","",VLOOKUP($A44,Cost_Estimates!$A$3:$AB$189,5,FALSE))</f>
        <v>Knobs Flat Flood Protection</v>
      </c>
      <c r="E44" s="11" t="str">
        <f>IF(VLOOKUP($A44,Cost_Estimates!$A$3:$AB$189,6,FALSE)="","",VLOOKUP($A44,Cost_Estimates!$A$3:$AB$189,6,FALSE))</f>
        <v>Stop banks and flood protection structures required for Knobs Flat Accomodation</v>
      </c>
      <c r="F44" s="14" t="str">
        <f>IF(VLOOKUP($A44,Cost_Estimates!$A$3:$AB$189,7,FALSE)="","",VLOOKUP($A44,Cost_Estimates!$A$3:$AB$189,7,FALSE))</f>
        <v>m</v>
      </c>
      <c r="G44" s="45">
        <f>IF(VLOOKUP($A44,Cost_Estimates!$A$3:$AB$189,9,FALSE)="","",VLOOKUP($A44,Cost_Estimates!$A$3:$AB$189,9,FALSE))</f>
        <v>3000</v>
      </c>
      <c r="H44" s="43">
        <f>IF(VLOOKUP($A44,Cost_Estimates!$A$3:$AB$189,20,FALSE)="","",VLOOKUP($A44,Cost_Estimates!$A$3:$AB$189,20,FALSE))</f>
        <v>21918000</v>
      </c>
      <c r="I44" s="7">
        <f>IF(VLOOKUP($A44,Cost_Estimates!$A$3:$AB$189,21,FALSE)="","",VLOOKUP($A44,Cost_Estimates!$A$3:$AB$189,21,FALSE))</f>
        <v>0</v>
      </c>
      <c r="J44" s="7">
        <f>IF(VLOOKUP($A44,Cost_Estimates!$A$3:$AB$189,22,FALSE)="","",VLOOKUP($A44,Cost_Estimates!$A$3:$AB$189,22,FALSE))</f>
        <v>2022</v>
      </c>
      <c r="K44" s="7">
        <f>IF(VLOOKUP($A44,Cost_Estimates!$A$3:$AB$189,23,FALSE)="","",VLOOKUP($A44,Cost_Estimates!$A$3:$AB$189,23,FALSE))</f>
        <v>3</v>
      </c>
      <c r="L44" s="7">
        <f>IF(VLOOKUP($A44,Cost_Estimates!$A$3:$AB$189,24,FALSE)="","",VLOOKUP($A44,Cost_Estimates!$A$3:$AB$189,24,FALSE))</f>
        <v>2025</v>
      </c>
      <c r="M44" s="58" t="str">
        <f>IF(VLOOKUP($A44,Cost_Estimates!$A$3:$AB$189,25,FALSE)="","",VLOOKUP($A44,Cost_Estimates!$A$3:$AB$189,25,FALSE))</f>
        <v>Base Option Design Yr 1, Construct Yr 2/3</v>
      </c>
      <c r="N44" s="58" t="str">
        <f>IF(VLOOKUP($A44,Cost_Estimates!$A$3:$AB$189,26,FALSE)="","",VLOOKUP($A44,Cost_Estimates!$A$3:$AB$189,26,FALSE))</f>
        <v/>
      </c>
      <c r="O44" s="14" t="str">
        <f>IF(VLOOKUP($A44,Cost_Estimates!$A$3:$AB$189,27,FALSE)="","",VLOOKUP($A44,Cost_Estimates!$A$3:$AB$189,27,FALSE))</f>
        <v/>
      </c>
      <c r="P44" s="14" t="str">
        <f>IF(VLOOKUP($A44,Cost_Estimates!$A$3:$AB$189,28,FALSE)="","",VLOOKUP($A44,Cost_Estimates!$A$3:$AB$189,28,FALSE))</f>
        <v/>
      </c>
    </row>
    <row r="45" spans="1:16" ht="60.6" customHeight="1" x14ac:dyDescent="0.25">
      <c r="A45" s="14" t="s">
        <v>493</v>
      </c>
      <c r="B45" s="14" t="str">
        <f>IF(VLOOKUP($A45,Cost_Estimates!$A$3:$AB$189,2,FALSE)="","",VLOOKUP($A45,Cost_Estimates!$A$3:$AB$189,2,FALSE))</f>
        <v>Corridor</v>
      </c>
      <c r="C45" s="11" t="str">
        <f>IF(VLOOKUP($A45,Cost_Estimates!$A$3:$AB$189,4,FALSE)="","",VLOOKUP($A45,Cost_Estimates!$A$3:$AB$189,4,FALSE))</f>
        <v>Homer Tunnel portals</v>
      </c>
      <c r="D45" s="14" t="str">
        <f>IF(VLOOKUP($A45,Cost_Estimates!$A$3:$AB$189,5,FALSE)="","",VLOOKUP($A45,Cost_Estimates!$A$3:$AB$189,5,FALSE))</f>
        <v>Homer Tunnel - Eastern Portal</v>
      </c>
      <c r="E45" s="11" t="str">
        <f>IF(VLOOKUP($A45,Cost_Estimates!$A$3:$AB$189,6,FALSE)="","",VLOOKUP($A45,Cost_Estimates!$A$3:$AB$189,6,FALSE))</f>
        <v>Expansion of eastern Tunnel Portal for viewing area providing rockfall protection from the southern slopes, and protected pullover area for buses allowing for the visitor experience.</v>
      </c>
      <c r="F45" s="14" t="str">
        <f>IF(VLOOKUP($A45,Cost_Estimates!$A$3:$AB$189,7,FALSE)="","",VLOOKUP($A45,Cost_Estimates!$A$3:$AB$189,7,FALSE))</f>
        <v>no.</v>
      </c>
      <c r="G45" s="45">
        <f>IF(VLOOKUP($A45,Cost_Estimates!$A$3:$AB$189,9,FALSE)="","",VLOOKUP($A45,Cost_Estimates!$A$3:$AB$189,9,FALSE))</f>
        <v>1</v>
      </c>
      <c r="H45" s="43">
        <f>IF(VLOOKUP($A45,Cost_Estimates!$A$3:$AB$189,20,FALSE)="","",VLOOKUP($A45,Cost_Estimates!$A$3:$AB$189,20,FALSE))</f>
        <v>52516000</v>
      </c>
      <c r="I45" s="7">
        <f>IF(VLOOKUP($A45,Cost_Estimates!$A$3:$AB$189,21,FALSE)="","",VLOOKUP($A45,Cost_Estimates!$A$3:$AB$189,21,FALSE))</f>
        <v>0</v>
      </c>
      <c r="J45" s="7">
        <f>IF(VLOOKUP($A45,Cost_Estimates!$A$3:$AB$189,22,FALSE)="","",VLOOKUP($A45,Cost_Estimates!$A$3:$AB$189,22,FALSE))</f>
        <v>2022</v>
      </c>
      <c r="K45" s="7">
        <f>IF(VLOOKUP($A45,Cost_Estimates!$A$3:$AB$189,23,FALSE)="","",VLOOKUP($A45,Cost_Estimates!$A$3:$AB$189,23,FALSE))</f>
        <v>4</v>
      </c>
      <c r="L45" s="7">
        <f>IF(VLOOKUP($A45,Cost_Estimates!$A$3:$AB$189,24,FALSE)="","",VLOOKUP($A45,Cost_Estimates!$A$3:$AB$189,24,FALSE))</f>
        <v>2026</v>
      </c>
      <c r="M45" s="58" t="str">
        <f>IF(VLOOKUP($A45,Cost_Estimates!$A$3:$AB$189,25,FALSE)="","",VLOOKUP($A45,Cost_Estimates!$A$3:$AB$189,25,FALSE))</f>
        <v>Base Option Design Yr 1, Construct Yr 2-4</v>
      </c>
      <c r="N45" s="58" t="str">
        <f>IF(VLOOKUP($A45,Cost_Estimates!$A$3:$AB$189,26,FALSE)="","",VLOOKUP($A45,Cost_Estimates!$A$3:$AB$189,26,FALSE))</f>
        <v/>
      </c>
      <c r="O45" s="14" t="str">
        <f>IF(VLOOKUP($A45,Cost_Estimates!$A$3:$AB$189,27,FALSE)="","",VLOOKUP($A45,Cost_Estimates!$A$3:$AB$189,27,FALSE))</f>
        <v/>
      </c>
      <c r="P45" s="14" t="str">
        <f>IF(VLOOKUP($A45,Cost_Estimates!$A$3:$AB$189,28,FALSE)="","",VLOOKUP($A45,Cost_Estimates!$A$3:$AB$189,28,FALSE))</f>
        <v/>
      </c>
    </row>
    <row r="46" spans="1:16" ht="60.6" customHeight="1" x14ac:dyDescent="0.25">
      <c r="A46" s="14" t="s">
        <v>494</v>
      </c>
      <c r="B46" s="14" t="str">
        <f>IF(VLOOKUP($A46,Cost_Estimates!$A$3:$AB$189,2,FALSE)="","",VLOOKUP($A46,Cost_Estimates!$A$3:$AB$189,2,FALSE))</f>
        <v>Corridor</v>
      </c>
      <c r="C46" s="11" t="str">
        <f>IF(VLOOKUP($A46,Cost_Estimates!$A$3:$AB$189,4,FALSE)="","",VLOOKUP($A46,Cost_Estimates!$A$3:$AB$189,4,FALSE))</f>
        <v>Homer Tunnel portals</v>
      </c>
      <c r="D46" s="14" t="str">
        <f>IF(VLOOKUP($A46,Cost_Estimates!$A$3:$AB$189,5,FALSE)="","",VLOOKUP($A46,Cost_Estimates!$A$3:$AB$189,5,FALSE))</f>
        <v>Homer Tunnel - Western Portal Loop 2</v>
      </c>
      <c r="E46" s="11" t="str">
        <f>IF(VLOOKUP($A46,Cost_Estimates!$A$3:$AB$189,6,FALSE)="","",VLOOKUP($A46,Cost_Estimates!$A$3:$AB$189,6,FALSE))</f>
        <v>Parking Area enhancement at Loop 2 - including a robust shelter, 900 m2 parking, 75m retaining wall</v>
      </c>
      <c r="F46" s="14" t="str">
        <f>IF(VLOOKUP($A46,Cost_Estimates!$A$3:$AB$189,7,FALSE)="","",VLOOKUP($A46,Cost_Estimates!$A$3:$AB$189,7,FALSE))</f>
        <v>no.</v>
      </c>
      <c r="G46" s="45">
        <f>IF(VLOOKUP($A46,Cost_Estimates!$A$3:$AB$189,9,FALSE)="","",VLOOKUP($A46,Cost_Estimates!$A$3:$AB$189,9,FALSE))</f>
        <v>1</v>
      </c>
      <c r="H46" s="43">
        <f>IF(VLOOKUP($A46,Cost_Estimates!$A$3:$AB$189,20,FALSE)="","",VLOOKUP($A46,Cost_Estimates!$A$3:$AB$189,20,FALSE))</f>
        <v>1614000</v>
      </c>
      <c r="I46" s="7">
        <f>IF(VLOOKUP($A46,Cost_Estimates!$A$3:$AB$189,21,FALSE)="","",VLOOKUP($A46,Cost_Estimates!$A$3:$AB$189,21,FALSE))</f>
        <v>0</v>
      </c>
      <c r="J46" s="7">
        <f>IF(VLOOKUP($A46,Cost_Estimates!$A$3:$AB$189,22,FALSE)="","",VLOOKUP($A46,Cost_Estimates!$A$3:$AB$189,22,FALSE))</f>
        <v>2022</v>
      </c>
      <c r="K46" s="7">
        <f>IF(VLOOKUP($A46,Cost_Estimates!$A$3:$AB$189,23,FALSE)="","",VLOOKUP($A46,Cost_Estimates!$A$3:$AB$189,23,FALSE))</f>
        <v>3</v>
      </c>
      <c r="L46" s="7">
        <f>IF(VLOOKUP($A46,Cost_Estimates!$A$3:$AB$189,24,FALSE)="","",VLOOKUP($A46,Cost_Estimates!$A$3:$AB$189,24,FALSE))</f>
        <v>2025</v>
      </c>
      <c r="M46" s="58" t="str">
        <f>IF(VLOOKUP($A46,Cost_Estimates!$A$3:$AB$189,25,FALSE)="","",VLOOKUP($A46,Cost_Estimates!$A$3:$AB$189,25,FALSE))</f>
        <v>Base Option Design Yr 1, Construct Yr 2/3</v>
      </c>
      <c r="N46" s="58" t="str">
        <f>IF(VLOOKUP($A46,Cost_Estimates!$A$3:$AB$189,26,FALSE)="","",VLOOKUP($A46,Cost_Estimates!$A$3:$AB$189,26,FALSE))</f>
        <v/>
      </c>
      <c r="O46" s="14" t="str">
        <f>IF(VLOOKUP($A46,Cost_Estimates!$A$3:$AB$189,27,FALSE)="","",VLOOKUP($A46,Cost_Estimates!$A$3:$AB$189,27,FALSE))</f>
        <v/>
      </c>
      <c r="P46" s="14" t="str">
        <f>IF(VLOOKUP($A46,Cost_Estimates!$A$3:$AB$189,28,FALSE)="","",VLOOKUP($A46,Cost_Estimates!$A$3:$AB$189,28,FALSE))</f>
        <v/>
      </c>
    </row>
    <row r="47" spans="1:16" ht="60.6" customHeight="1" x14ac:dyDescent="0.25">
      <c r="A47" s="14" t="s">
        <v>495</v>
      </c>
      <c r="B47" s="14" t="str">
        <f>IF(VLOOKUP($A47,Cost_Estimates!$A$3:$AB$189,2,FALSE)="","",VLOOKUP($A47,Cost_Estimates!$A$3:$AB$189,2,FALSE))</f>
        <v>Corridor</v>
      </c>
      <c r="C47" s="11" t="str">
        <f>IF(VLOOKUP($A47,Cost_Estimates!$A$3:$AB$189,4,FALSE)="","",VLOOKUP($A47,Cost_Estimates!$A$3:$AB$189,4,FALSE))</f>
        <v>FNP threshold</v>
      </c>
      <c r="D47" s="14" t="str">
        <f>IF(VLOOKUP($A47,Cost_Estimates!$A$3:$AB$189,5,FALSE)="","",VLOOKUP($A47,Cost_Estimates!$A$3:$AB$189,5,FALSE))</f>
        <v>Corridor Experience - FNP Entrance / Departure</v>
      </c>
      <c r="E47" s="11" t="str">
        <f>IF(VLOOKUP($A47,Cost_Estimates!$A$3:$AB$189,6,FALSE)="","",VLOOKUP($A47,Cost_Estimates!$A$3:$AB$189,6,FALSE))</f>
        <v>Constructed entrance developed along lines of kiosk and remote monitoring</v>
      </c>
      <c r="F47" s="14" t="str">
        <f>IF(VLOOKUP($A47,Cost_Estimates!$A$3:$AB$189,7,FALSE)="","",VLOOKUP($A47,Cost_Estimates!$A$3:$AB$189,7,FALSE))</f>
        <v>no.</v>
      </c>
      <c r="G47" s="45">
        <f>IF(VLOOKUP($A47,Cost_Estimates!$A$3:$AB$189,9,FALSE)="","",VLOOKUP($A47,Cost_Estimates!$A$3:$AB$189,9,FALSE))</f>
        <v>1</v>
      </c>
      <c r="H47" s="43">
        <f>IF(VLOOKUP($A47,Cost_Estimates!$A$3:$AB$189,20,FALSE)="","",VLOOKUP($A47,Cost_Estimates!$A$3:$AB$189,20,FALSE))</f>
        <v>701000</v>
      </c>
      <c r="I47" s="7">
        <f>IF(VLOOKUP($A47,Cost_Estimates!$A$3:$AB$189,21,FALSE)="","",VLOOKUP($A47,Cost_Estimates!$A$3:$AB$189,21,FALSE))</f>
        <v>0</v>
      </c>
      <c r="J47" s="7">
        <f>IF(VLOOKUP($A47,Cost_Estimates!$A$3:$AB$189,22,FALSE)="","",VLOOKUP($A47,Cost_Estimates!$A$3:$AB$189,22,FALSE))</f>
        <v>2022</v>
      </c>
      <c r="K47" s="7">
        <f>IF(VLOOKUP($A47,Cost_Estimates!$A$3:$AB$189,23,FALSE)="","",VLOOKUP($A47,Cost_Estimates!$A$3:$AB$189,23,FALSE))</f>
        <v>3</v>
      </c>
      <c r="L47" s="7">
        <f>IF(VLOOKUP($A47,Cost_Estimates!$A$3:$AB$189,24,FALSE)="","",VLOOKUP($A47,Cost_Estimates!$A$3:$AB$189,24,FALSE))</f>
        <v>2025</v>
      </c>
      <c r="M47" s="58" t="str">
        <f>IF(VLOOKUP($A47,Cost_Estimates!$A$3:$AB$189,25,FALSE)="","",VLOOKUP($A47,Cost_Estimates!$A$3:$AB$189,25,FALSE))</f>
        <v>Base Option Design Yr 1, Construct Yr 2/3</v>
      </c>
      <c r="N47" s="58" t="str">
        <f>IF(VLOOKUP($A47,Cost_Estimates!$A$3:$AB$189,26,FALSE)="","",VLOOKUP($A47,Cost_Estimates!$A$3:$AB$189,26,FALSE))</f>
        <v/>
      </c>
      <c r="O47" s="14" t="str">
        <f>IF(VLOOKUP($A47,Cost_Estimates!$A$3:$AB$189,27,FALSE)="","",VLOOKUP($A47,Cost_Estimates!$A$3:$AB$189,27,FALSE))</f>
        <v/>
      </c>
      <c r="P47" s="14" t="str">
        <f>IF(VLOOKUP($A47,Cost_Estimates!$A$3:$AB$189,28,FALSE)="","",VLOOKUP($A47,Cost_Estimates!$A$3:$AB$189,28,FALSE))</f>
        <v/>
      </c>
    </row>
    <row r="48" spans="1:16" ht="60.6" customHeight="1" x14ac:dyDescent="0.25">
      <c r="A48" s="14" t="s">
        <v>496</v>
      </c>
      <c r="B48" s="14" t="str">
        <f>IF(VLOOKUP($A48,Cost_Estimates!$A$3:$AB$189,2,FALSE)="","",VLOOKUP($A48,Cost_Estimates!$A$3:$AB$189,2,FALSE))</f>
        <v>Corridor</v>
      </c>
      <c r="C48" s="11" t="str">
        <f>IF(VLOOKUP($A48,Cost_Estimates!$A$3:$AB$189,4,FALSE)="","",VLOOKUP($A48,Cost_Estimates!$A$3:$AB$189,4,FALSE))</f>
        <v>FNP threshold</v>
      </c>
      <c r="D48" s="14" t="str">
        <f>IF(VLOOKUP($A48,Cost_Estimates!$A$3:$AB$189,5,FALSE)="","",VLOOKUP($A48,Cost_Estimates!$A$3:$AB$189,5,FALSE))</f>
        <v>Corridor Experience - Eglington Reveal Carpark</v>
      </c>
      <c r="E48" s="11" t="str">
        <f>IF(VLOOKUP($A48,Cost_Estimates!$A$3:$AB$189,6,FALSE)="","",VLOOKUP($A48,Cost_Estimates!$A$3:$AB$189,6,FALSE))</f>
        <v>Parking Area at Eglington Reveal- including a robust shelter, 900 m2 parking (unsealed), and 4 vaulted toilets</v>
      </c>
      <c r="F48" s="14" t="str">
        <f>IF(VLOOKUP($A48,Cost_Estimates!$A$3:$AB$189,7,FALSE)="","",VLOOKUP($A48,Cost_Estimates!$A$3:$AB$189,7,FALSE))</f>
        <v>no.</v>
      </c>
      <c r="G48" s="45">
        <f>IF(VLOOKUP($A48,Cost_Estimates!$A$3:$AB$189,9,FALSE)="","",VLOOKUP($A48,Cost_Estimates!$A$3:$AB$189,9,FALSE))</f>
        <v>1</v>
      </c>
      <c r="H48" s="43">
        <f>IF(VLOOKUP($A48,Cost_Estimates!$A$3:$AB$189,20,FALSE)="","",VLOOKUP($A48,Cost_Estimates!$A$3:$AB$189,20,FALSE))</f>
        <v>1338000</v>
      </c>
      <c r="I48" s="7" t="str">
        <f>IF(VLOOKUP($A48,Cost_Estimates!$A$3:$AB$189,21,FALSE)="","",VLOOKUP($A48,Cost_Estimates!$A$3:$AB$189,21,FALSE))</f>
        <v/>
      </c>
      <c r="J48" s="7" t="str">
        <f>IF(VLOOKUP($A48,Cost_Estimates!$A$3:$AB$189,22,FALSE)="","",VLOOKUP($A48,Cost_Estimates!$A$3:$AB$189,22,FALSE))</f>
        <v/>
      </c>
      <c r="K48" s="7" t="str">
        <f>IF(VLOOKUP($A48,Cost_Estimates!$A$3:$AB$189,23,FALSE)="","",VLOOKUP($A48,Cost_Estimates!$A$3:$AB$189,23,FALSE))</f>
        <v/>
      </c>
      <c r="L48" s="7" t="str">
        <f>IF(VLOOKUP($A48,Cost_Estimates!$A$3:$AB$189,24,FALSE)="","",VLOOKUP($A48,Cost_Estimates!$A$3:$AB$189,24,FALSE))</f>
        <v/>
      </c>
      <c r="M48" s="58" t="str">
        <f>IF(VLOOKUP($A48,Cost_Estimates!$A$3:$AB$189,25,FALSE)="","",VLOOKUP($A48,Cost_Estimates!$A$3:$AB$189,25,FALSE))</f>
        <v/>
      </c>
      <c r="N48" s="58" t="str">
        <f>IF(VLOOKUP($A48,Cost_Estimates!$A$3:$AB$189,26,FALSE)="","",VLOOKUP($A48,Cost_Estimates!$A$3:$AB$189,26,FALSE))</f>
        <v/>
      </c>
      <c r="O48" s="14" t="str">
        <f>IF(VLOOKUP($A48,Cost_Estimates!$A$3:$AB$189,27,FALSE)="","",VLOOKUP($A48,Cost_Estimates!$A$3:$AB$189,27,FALSE))</f>
        <v/>
      </c>
      <c r="P48" s="14" t="str">
        <f>IF(VLOOKUP($A48,Cost_Estimates!$A$3:$AB$189,28,FALSE)="","",VLOOKUP($A48,Cost_Estimates!$A$3:$AB$189,28,FALSE))</f>
        <v/>
      </c>
    </row>
    <row r="49" spans="1:16" ht="60.6" customHeight="1" x14ac:dyDescent="0.25">
      <c r="A49" s="14" t="s">
        <v>497</v>
      </c>
      <c r="B49" s="14" t="str">
        <f>IF(VLOOKUP($A49,Cost_Estimates!$A$3:$AB$189,2,FALSE)="","",VLOOKUP($A49,Cost_Estimates!$A$3:$AB$189,2,FALSE))</f>
        <v>Corridor</v>
      </c>
      <c r="C49" s="11" t="str">
        <f>IF(VLOOKUP($A49,Cost_Estimates!$A$3:$AB$189,4,FALSE)="","",VLOOKUP($A49,Cost_Estimates!$A$3:$AB$189,4,FALSE))</f>
        <v>FNP threshold</v>
      </c>
      <c r="D49" s="14" t="str">
        <f>IF(VLOOKUP($A49,Cost_Estimates!$A$3:$AB$189,5,FALSE)="","",VLOOKUP($A49,Cost_Estimates!$A$3:$AB$189,5,FALSE))</f>
        <v>Corridor Interpretation</v>
      </c>
      <c r="E49" s="11" t="str">
        <f>IF(VLOOKUP($A49,Cost_Estimates!$A$3:$AB$189,6,FALSE)="","",VLOOKUP($A49,Cost_Estimates!$A$3:$AB$189,6,FALSE))</f>
        <v>Budget allowance for the establishment of interpretive materials throughout Corridor (Signage, Displays, Services)</v>
      </c>
      <c r="F49" s="14" t="str">
        <f>IF(VLOOKUP($A49,Cost_Estimates!$A$3:$AB$189,7,FALSE)="","",VLOOKUP($A49,Cost_Estimates!$A$3:$AB$189,7,FALSE))</f>
        <v>no.</v>
      </c>
      <c r="G49" s="45">
        <f>IF(VLOOKUP($A49,Cost_Estimates!$A$3:$AB$189,9,FALSE)="","",VLOOKUP($A49,Cost_Estimates!$A$3:$AB$189,9,FALSE))</f>
        <v>1</v>
      </c>
      <c r="H49" s="43">
        <f>IF(VLOOKUP($A49,Cost_Estimates!$A$3:$AB$189,20,FALSE)="","",VLOOKUP($A49,Cost_Estimates!$A$3:$AB$189,20,FALSE))</f>
        <v>1000000</v>
      </c>
      <c r="I49" s="7">
        <f>IF(VLOOKUP($A49,Cost_Estimates!$A$3:$AB$189,21,FALSE)="","",VLOOKUP($A49,Cost_Estimates!$A$3:$AB$189,21,FALSE))</f>
        <v>0</v>
      </c>
      <c r="J49" s="7">
        <f>IF(VLOOKUP($A49,Cost_Estimates!$A$3:$AB$189,22,FALSE)="","",VLOOKUP($A49,Cost_Estimates!$A$3:$AB$189,22,FALSE))</f>
        <v>2022</v>
      </c>
      <c r="K49" s="7">
        <f>IF(VLOOKUP($A49,Cost_Estimates!$A$3:$AB$189,23,FALSE)="","",VLOOKUP($A49,Cost_Estimates!$A$3:$AB$189,23,FALSE))</f>
        <v>3</v>
      </c>
      <c r="L49" s="7">
        <f>IF(VLOOKUP($A49,Cost_Estimates!$A$3:$AB$189,24,FALSE)="","",VLOOKUP($A49,Cost_Estimates!$A$3:$AB$189,24,FALSE))</f>
        <v>2025</v>
      </c>
      <c r="M49" s="58" t="str">
        <f>IF(VLOOKUP($A49,Cost_Estimates!$A$3:$AB$189,25,FALSE)="","",VLOOKUP($A49,Cost_Estimates!$A$3:$AB$189,25,FALSE))</f>
        <v>Base Option Design Yr 1, Construct Yr 2/3</v>
      </c>
      <c r="N49" s="58" t="str">
        <f>IF(VLOOKUP($A49,Cost_Estimates!$A$3:$AB$189,26,FALSE)="","",VLOOKUP($A49,Cost_Estimates!$A$3:$AB$189,26,FALSE))</f>
        <v/>
      </c>
      <c r="O49" s="14" t="str">
        <f>IF(VLOOKUP($A49,Cost_Estimates!$A$3:$AB$189,27,FALSE)="","",VLOOKUP($A49,Cost_Estimates!$A$3:$AB$189,27,FALSE))</f>
        <v/>
      </c>
      <c r="P49" s="14" t="str">
        <f>IF(VLOOKUP($A49,Cost_Estimates!$A$3:$AB$189,28,FALSE)="","",VLOOKUP($A49,Cost_Estimates!$A$3:$AB$189,28,FALSE))</f>
        <v/>
      </c>
    </row>
    <row r="50" spans="1:16" ht="60.6" customHeight="1" x14ac:dyDescent="0.25">
      <c r="A50" s="14" t="s">
        <v>498</v>
      </c>
      <c r="B50" s="14" t="str">
        <f>IF(VLOOKUP($A50,Cost_Estimates!$A$3:$AB$189,2,FALSE)="","",VLOOKUP($A50,Cost_Estimates!$A$3:$AB$189,2,FALSE))</f>
        <v>Corridor</v>
      </c>
      <c r="C50" s="11" t="str">
        <f>IF(VLOOKUP($A50,Cost_Estimates!$A$3:$AB$189,4,FALSE)="","",VLOOKUP($A50,Cost_Estimates!$A$3:$AB$189,4,FALSE))</f>
        <v>Short Stops</v>
      </c>
      <c r="D50" s="14" t="str">
        <f>IF(VLOOKUP($A50,Cost_Estimates!$A$3:$AB$189,5,FALSE)="","",VLOOKUP($A50,Cost_Estimates!$A$3:$AB$189,5,FALSE))</f>
        <v>Cycleway - Knobs Flat to Cascade Creek</v>
      </c>
      <c r="E50" s="11" t="str">
        <f>IF(VLOOKUP($A50,Cost_Estimates!$A$3:$AB$189,6,FALSE)="","",VLOOKUP($A50,Cost_Estimates!$A$3:$AB$189,6,FALSE))</f>
        <v>Established cycleway, typically off road, between the two locations</v>
      </c>
      <c r="F50" s="14" t="str">
        <f>IF(VLOOKUP($A50,Cost_Estimates!$A$3:$AB$189,7,FALSE)="","",VLOOKUP($A50,Cost_Estimates!$A$3:$AB$189,7,FALSE))</f>
        <v>m</v>
      </c>
      <c r="G50" s="45">
        <f>IF(VLOOKUP($A50,Cost_Estimates!$A$3:$AB$189,9,FALSE)="","",VLOOKUP($A50,Cost_Estimates!$A$3:$AB$189,9,FALSE))</f>
        <v>12700</v>
      </c>
      <c r="H50" s="43">
        <f>IF(VLOOKUP($A50,Cost_Estimates!$A$3:$AB$189,20,FALSE)="","",VLOOKUP($A50,Cost_Estimates!$A$3:$AB$189,20,FALSE))</f>
        <v>16109000</v>
      </c>
      <c r="I50" s="7">
        <f>IF(VLOOKUP($A50,Cost_Estimates!$A$3:$AB$189,21,FALSE)="","",VLOOKUP($A50,Cost_Estimates!$A$3:$AB$189,21,FALSE))</f>
        <v>0</v>
      </c>
      <c r="J50" s="7">
        <f>IF(VLOOKUP($A50,Cost_Estimates!$A$3:$AB$189,22,FALSE)="","",VLOOKUP($A50,Cost_Estimates!$A$3:$AB$189,22,FALSE))</f>
        <v>2022</v>
      </c>
      <c r="K50" s="7">
        <f>IF(VLOOKUP($A50,Cost_Estimates!$A$3:$AB$189,23,FALSE)="","",VLOOKUP($A50,Cost_Estimates!$A$3:$AB$189,23,FALSE))</f>
        <v>3</v>
      </c>
      <c r="L50" s="7">
        <f>IF(VLOOKUP($A50,Cost_Estimates!$A$3:$AB$189,24,FALSE)="","",VLOOKUP($A50,Cost_Estimates!$A$3:$AB$189,24,FALSE))</f>
        <v>2025</v>
      </c>
      <c r="M50" s="58" t="str">
        <f>IF(VLOOKUP($A50,Cost_Estimates!$A$3:$AB$189,25,FALSE)="","",VLOOKUP($A50,Cost_Estimates!$A$3:$AB$189,25,FALSE))</f>
        <v>Base Option Design Yr 1, Construct Yr 2/3</v>
      </c>
      <c r="N50" s="58" t="str">
        <f>IF(VLOOKUP($A50,Cost_Estimates!$A$3:$AB$189,26,FALSE)="","",VLOOKUP($A50,Cost_Estimates!$A$3:$AB$189,26,FALSE))</f>
        <v/>
      </c>
      <c r="O50" s="14" t="str">
        <f>IF(VLOOKUP($A50,Cost_Estimates!$A$3:$AB$189,27,FALSE)="","",VLOOKUP($A50,Cost_Estimates!$A$3:$AB$189,27,FALSE))</f>
        <v/>
      </c>
      <c r="P50" s="14" t="str">
        <f>IF(VLOOKUP($A50,Cost_Estimates!$A$3:$AB$189,28,FALSE)="","",VLOOKUP($A50,Cost_Estimates!$A$3:$AB$189,28,FALSE))</f>
        <v/>
      </c>
    </row>
    <row r="51" spans="1:16" ht="60.6" customHeight="1" x14ac:dyDescent="0.25">
      <c r="A51" s="14" t="s">
        <v>499</v>
      </c>
      <c r="B51" s="14" t="str">
        <f>IF(VLOOKUP($A51,Cost_Estimates!$A$3:$AB$189,2,FALSE)="","",VLOOKUP($A51,Cost_Estimates!$A$3:$AB$189,2,FALSE))</f>
        <v>Corridor</v>
      </c>
      <c r="C51" s="11" t="str">
        <f>IF(VLOOKUP($A51,Cost_Estimates!$A$3:$AB$189,4,FALSE)="","",VLOOKUP($A51,Cost_Estimates!$A$3:$AB$189,4,FALSE))</f>
        <v>Short Stops</v>
      </c>
      <c r="D51" s="14" t="str">
        <f>IF(VLOOKUP($A51,Cost_Estimates!$A$3:$AB$189,5,FALSE)="","",VLOOKUP($A51,Cost_Estimates!$A$3:$AB$189,5,FALSE))</f>
        <v>Cycleway - Knobs Flat from Te Anau Downs</v>
      </c>
      <c r="E51" s="11" t="str">
        <f>IF(VLOOKUP($A51,Cost_Estimates!$A$3:$AB$189,6,FALSE)="","",VLOOKUP($A51,Cost_Estimates!$A$3:$AB$189,6,FALSE))</f>
        <v>Established cycleway, typically off road, between the two locations</v>
      </c>
      <c r="F51" s="14" t="str">
        <f>IF(VLOOKUP($A51,Cost_Estimates!$A$3:$AB$189,7,FALSE)="","",VLOOKUP($A51,Cost_Estimates!$A$3:$AB$189,7,FALSE))</f>
        <v>m</v>
      </c>
      <c r="G51" s="45">
        <f>IF(VLOOKUP($A51,Cost_Estimates!$A$3:$AB$189,9,FALSE)="","",VLOOKUP($A51,Cost_Estimates!$A$3:$AB$189,9,FALSE))</f>
        <v>29500</v>
      </c>
      <c r="H51" s="43">
        <f>IF(VLOOKUP($A51,Cost_Estimates!$A$3:$AB$189,20,FALSE)="","",VLOOKUP($A51,Cost_Estimates!$A$3:$AB$189,20,FALSE))</f>
        <v>37418000</v>
      </c>
      <c r="I51" s="7">
        <f>IF(VLOOKUP($A51,Cost_Estimates!$A$3:$AB$189,21,FALSE)="","",VLOOKUP($A51,Cost_Estimates!$A$3:$AB$189,21,FALSE))</f>
        <v>0</v>
      </c>
      <c r="J51" s="7">
        <f>IF(VLOOKUP($A51,Cost_Estimates!$A$3:$AB$189,22,FALSE)="","",VLOOKUP($A51,Cost_Estimates!$A$3:$AB$189,22,FALSE))</f>
        <v>2022</v>
      </c>
      <c r="K51" s="7">
        <f>IF(VLOOKUP($A51,Cost_Estimates!$A$3:$AB$189,23,FALSE)="","",VLOOKUP($A51,Cost_Estimates!$A$3:$AB$189,23,FALSE))</f>
        <v>3</v>
      </c>
      <c r="L51" s="7">
        <f>IF(VLOOKUP($A51,Cost_Estimates!$A$3:$AB$189,24,FALSE)="","",VLOOKUP($A51,Cost_Estimates!$A$3:$AB$189,24,FALSE))</f>
        <v>2025</v>
      </c>
      <c r="M51" s="58" t="str">
        <f>IF(VLOOKUP($A51,Cost_Estimates!$A$3:$AB$189,25,FALSE)="","",VLOOKUP($A51,Cost_Estimates!$A$3:$AB$189,25,FALSE))</f>
        <v>Base Option Design Yr 1, Construct Yr 2/3</v>
      </c>
      <c r="N51" s="58" t="str">
        <f>IF(VLOOKUP($A51,Cost_Estimates!$A$3:$AB$189,26,FALSE)="","",VLOOKUP($A51,Cost_Estimates!$A$3:$AB$189,26,FALSE))</f>
        <v/>
      </c>
      <c r="O51" s="14" t="str">
        <f>IF(VLOOKUP($A51,Cost_Estimates!$A$3:$AB$189,27,FALSE)="","",VLOOKUP($A51,Cost_Estimates!$A$3:$AB$189,27,FALSE))</f>
        <v/>
      </c>
      <c r="P51" s="14" t="str">
        <f>IF(VLOOKUP($A51,Cost_Estimates!$A$3:$AB$189,28,FALSE)="","",VLOOKUP($A51,Cost_Estimates!$A$3:$AB$189,28,FALSE))</f>
        <v/>
      </c>
    </row>
    <row r="52" spans="1:16" ht="68.099999999999994" customHeight="1" x14ac:dyDescent="0.25">
      <c r="A52" s="14" t="s">
        <v>500</v>
      </c>
      <c r="B52" s="14" t="str">
        <f>IF(VLOOKUP($A52,Cost_Estimates!$A$3:$AB$189,2,FALSE)="","",VLOOKUP($A52,Cost_Estimates!$A$3:$AB$189,2,FALSE))</f>
        <v>Corridor</v>
      </c>
      <c r="C52" s="11" t="str">
        <f>IF(VLOOKUP($A52,Cost_Estimates!$A$3:$AB$189,4,FALSE)="","",VLOOKUP($A52,Cost_Estimates!$A$3:$AB$189,4,FALSE))</f>
        <v>Short Stops</v>
      </c>
      <c r="D52" s="14" t="str">
        <f>IF(VLOOKUP($A52,Cost_Estimates!$A$3:$AB$189,5,FALSE)="","",VLOOKUP($A52,Cost_Estimates!$A$3:$AB$189,5,FALSE))</f>
        <v>Bus Shelter - Light</v>
      </c>
      <c r="E52" s="11" t="str">
        <f>IF(VLOOKUP($A52,Cost_Estimates!$A$3:$AB$189,6,FALSE)="","",VLOOKUP($A52,Cost_Estimates!$A$3:$AB$189,6,FALSE))</f>
        <v>Simple shelter either waterproof stretch awning attached between poles in peak season or simple solid roof (site dependant), with a single sealed vault toilet. Internet /wifi / mobile connection allowed for (site dependant)</v>
      </c>
      <c r="F52" s="14" t="str">
        <f>IF(VLOOKUP($A52,Cost_Estimates!$A$3:$AB$189,7,FALSE)="","",VLOOKUP($A52,Cost_Estimates!$A$3:$AB$189,7,FALSE))</f>
        <v>no.</v>
      </c>
      <c r="G52" s="45">
        <f>IF(VLOOKUP($A52,Cost_Estimates!$A$3:$AB$189,9,FALSE)="","",VLOOKUP($A52,Cost_Estimates!$A$3:$AB$189,9,FALSE))</f>
        <v>5</v>
      </c>
      <c r="H52" s="43">
        <f>IF(VLOOKUP($A52,Cost_Estimates!$A$3:$AB$189,20,FALSE)="","",VLOOKUP($A52,Cost_Estimates!$A$3:$AB$189,20,FALSE))</f>
        <v>709000</v>
      </c>
      <c r="I52" s="7">
        <f>IF(VLOOKUP($A52,Cost_Estimates!$A$3:$AB$189,21,FALSE)="","",VLOOKUP($A52,Cost_Estimates!$A$3:$AB$189,21,FALSE))</f>
        <v>0</v>
      </c>
      <c r="J52" s="7">
        <f>IF(VLOOKUP($A52,Cost_Estimates!$A$3:$AB$189,22,FALSE)="","",VLOOKUP($A52,Cost_Estimates!$A$3:$AB$189,22,FALSE))</f>
        <v>2022</v>
      </c>
      <c r="K52" s="7">
        <f>IF(VLOOKUP($A52,Cost_Estimates!$A$3:$AB$189,23,FALSE)="","",VLOOKUP($A52,Cost_Estimates!$A$3:$AB$189,23,FALSE))</f>
        <v>3</v>
      </c>
      <c r="L52" s="7">
        <f>IF(VLOOKUP($A52,Cost_Estimates!$A$3:$AB$189,24,FALSE)="","",VLOOKUP($A52,Cost_Estimates!$A$3:$AB$189,24,FALSE))</f>
        <v>2025</v>
      </c>
      <c r="M52" s="58" t="str">
        <f>IF(VLOOKUP($A52,Cost_Estimates!$A$3:$AB$189,25,FALSE)="","",VLOOKUP($A52,Cost_Estimates!$A$3:$AB$189,25,FALSE))</f>
        <v>Base Option Design Yr 1, Construct Yr 2/3</v>
      </c>
      <c r="N52" s="58" t="str">
        <f>IF(VLOOKUP($A52,Cost_Estimates!$A$3:$AB$189,26,FALSE)="","",VLOOKUP($A52,Cost_Estimates!$A$3:$AB$189,26,FALSE))</f>
        <v/>
      </c>
      <c r="O52" s="14" t="str">
        <f>IF(VLOOKUP($A52,Cost_Estimates!$A$3:$AB$189,27,FALSE)="","",VLOOKUP($A52,Cost_Estimates!$A$3:$AB$189,27,FALSE))</f>
        <v/>
      </c>
      <c r="P52" s="14" t="str">
        <f>IF(VLOOKUP($A52,Cost_Estimates!$A$3:$AB$189,28,FALSE)="","",VLOOKUP($A52,Cost_Estimates!$A$3:$AB$189,28,FALSE))</f>
        <v/>
      </c>
    </row>
    <row r="53" spans="1:16" ht="71.45" customHeight="1" x14ac:dyDescent="0.25">
      <c r="A53" s="14" t="s">
        <v>503</v>
      </c>
      <c r="B53" s="14" t="str">
        <f>IF(VLOOKUP($A53,Cost_Estimates!$A$3:$AB$189,2,FALSE)="","",VLOOKUP($A53,Cost_Estimates!$A$3:$AB$189,2,FALSE))</f>
        <v>Corridor</v>
      </c>
      <c r="C53" s="11" t="str">
        <f>IF(VLOOKUP($A53,Cost_Estimates!$A$3:$AB$189,4,FALSE)="","",VLOOKUP($A53,Cost_Estimates!$A$3:$AB$189,4,FALSE))</f>
        <v>Short Stops</v>
      </c>
      <c r="D53" s="14" t="str">
        <f>IF(VLOOKUP($A53,Cost_Estimates!$A$3:$AB$189,5,FALSE)="","",VLOOKUP($A53,Cost_Estimates!$A$3:$AB$189,5,FALSE))</f>
        <v>Bus Shelter - Minor</v>
      </c>
      <c r="E53" s="11" t="str">
        <f>IF(VLOOKUP($A53,Cost_Estimates!$A$3:$AB$189,6,FALSE)="","",VLOOKUP($A53,Cost_Estimates!$A$3:$AB$189,6,FALSE))</f>
        <v>Timber lined structure and interpretation boards. Waterproof stretch side awning attached in peak season to increase capacity, with a single sealed vault toilet.  Internet /wifi / mobile connection allowed for (site dependant)</v>
      </c>
      <c r="F53" s="14" t="str">
        <f>IF(VLOOKUP($A53,Cost_Estimates!$A$3:$AB$189,7,FALSE)="","",VLOOKUP($A53,Cost_Estimates!$A$3:$AB$189,7,FALSE))</f>
        <v>no.</v>
      </c>
      <c r="G53" s="45">
        <f>IF(VLOOKUP($A53,Cost_Estimates!$A$3:$AB$189,9,FALSE)="","",VLOOKUP($A53,Cost_Estimates!$A$3:$AB$189,9,FALSE))</f>
        <v>5</v>
      </c>
      <c r="H53" s="43">
        <f>IF(VLOOKUP($A53,Cost_Estimates!$A$3:$AB$189,20,FALSE)="","",VLOOKUP($A53,Cost_Estimates!$A$3:$AB$189,20,FALSE))</f>
        <v>2028000</v>
      </c>
      <c r="I53" s="7" t="str">
        <f>IF(VLOOKUP($A53,Cost_Estimates!$A$3:$AB$189,21,FALSE)="","",VLOOKUP($A53,Cost_Estimates!$A$3:$AB$189,21,FALSE))</f>
        <v/>
      </c>
      <c r="J53" s="7" t="str">
        <f>IF(VLOOKUP($A53,Cost_Estimates!$A$3:$AB$189,22,FALSE)="","",VLOOKUP($A53,Cost_Estimates!$A$3:$AB$189,22,FALSE))</f>
        <v/>
      </c>
      <c r="K53" s="7" t="str">
        <f>IF(VLOOKUP($A53,Cost_Estimates!$A$3:$AB$189,23,FALSE)="","",VLOOKUP($A53,Cost_Estimates!$A$3:$AB$189,23,FALSE))</f>
        <v/>
      </c>
      <c r="L53" s="7" t="str">
        <f>IF(VLOOKUP($A53,Cost_Estimates!$A$3:$AB$189,24,FALSE)="","",VLOOKUP($A53,Cost_Estimates!$A$3:$AB$189,24,FALSE))</f>
        <v/>
      </c>
      <c r="M53" s="58" t="str">
        <f>IF(VLOOKUP($A53,Cost_Estimates!$A$3:$AB$189,25,FALSE)="","",VLOOKUP($A53,Cost_Estimates!$A$3:$AB$189,25,FALSE))</f>
        <v/>
      </c>
      <c r="N53" s="58" t="str">
        <f>IF(VLOOKUP($A53,Cost_Estimates!$A$3:$AB$189,26,FALSE)="","",VLOOKUP($A53,Cost_Estimates!$A$3:$AB$189,26,FALSE))</f>
        <v/>
      </c>
      <c r="O53" s="14" t="str">
        <f>IF(VLOOKUP($A53,Cost_Estimates!$A$3:$AB$189,27,FALSE)="","",VLOOKUP($A53,Cost_Estimates!$A$3:$AB$189,27,FALSE))</f>
        <v/>
      </c>
      <c r="P53" s="14" t="str">
        <f>IF(VLOOKUP($A53,Cost_Estimates!$A$3:$AB$189,28,FALSE)="","",VLOOKUP($A53,Cost_Estimates!$A$3:$AB$189,28,FALSE))</f>
        <v/>
      </c>
    </row>
    <row r="54" spans="1:16" ht="60.6" customHeight="1" x14ac:dyDescent="0.25">
      <c r="A54" s="14" t="s">
        <v>510</v>
      </c>
      <c r="B54" s="14" t="str">
        <f>IF(VLOOKUP($A54,Cost_Estimates!$A$3:$AB$189,2,FALSE)="","",VLOOKUP($A54,Cost_Estimates!$A$3:$AB$189,2,FALSE))</f>
        <v>Corridor</v>
      </c>
      <c r="C54" s="11" t="str">
        <f>IF(VLOOKUP($A54,Cost_Estimates!$A$3:$AB$189,4,FALSE)="","",VLOOKUP($A54,Cost_Estimates!$A$3:$AB$189,4,FALSE))</f>
        <v>Super track head</v>
      </c>
      <c r="D54" s="14" t="str">
        <f>IF(VLOOKUP($A54,Cost_Estimates!$A$3:$AB$189,5,FALSE)="","",VLOOKUP($A54,Cost_Estimates!$A$3:$AB$189,5,FALSE))</f>
        <v>Super Track Head - Experience Hub</v>
      </c>
      <c r="E54" s="11" t="str">
        <f>IF(VLOOKUP($A54,Cost_Estimates!$A$3:$AB$189,6,FALSE)="","",VLOOKUP($A54,Cost_Estimates!$A$3:$AB$189,6,FALSE))</f>
        <v>Super Track Head - Facility associated with the exposing visitors to the history and significance of the area to Mana Whenua, provide an information centre for the local region</v>
      </c>
      <c r="F54" s="14" t="str">
        <f>IF(VLOOKUP($A54,Cost_Estimates!$A$3:$AB$189,7,FALSE)="","",VLOOKUP($A54,Cost_Estimates!$A$3:$AB$189,7,FALSE))</f>
        <v>m2</v>
      </c>
      <c r="G54" s="45">
        <f>IF(VLOOKUP($A54,Cost_Estimates!$A$3:$AB$189,9,FALSE)="","",VLOOKUP($A54,Cost_Estimates!$A$3:$AB$189,9,FALSE))</f>
        <v>200</v>
      </c>
      <c r="H54" s="43">
        <f>IF(VLOOKUP($A54,Cost_Estimates!$A$3:$AB$189,20,FALSE)="","",VLOOKUP($A54,Cost_Estimates!$A$3:$AB$189,20,FALSE))</f>
        <v>2030000</v>
      </c>
      <c r="I54" s="7">
        <f>IF(VLOOKUP($A54,Cost_Estimates!$A$3:$AB$189,21,FALSE)="","",VLOOKUP($A54,Cost_Estimates!$A$3:$AB$189,21,FALSE))</f>
        <v>0</v>
      </c>
      <c r="J54" s="7">
        <f>IF(VLOOKUP($A54,Cost_Estimates!$A$3:$AB$189,22,FALSE)="","",VLOOKUP($A54,Cost_Estimates!$A$3:$AB$189,22,FALSE))</f>
        <v>2022</v>
      </c>
      <c r="K54" s="7">
        <f>IF(VLOOKUP($A54,Cost_Estimates!$A$3:$AB$189,23,FALSE)="","",VLOOKUP($A54,Cost_Estimates!$A$3:$AB$189,23,FALSE))</f>
        <v>3</v>
      </c>
      <c r="L54" s="7">
        <f>IF(VLOOKUP($A54,Cost_Estimates!$A$3:$AB$189,24,FALSE)="","",VLOOKUP($A54,Cost_Estimates!$A$3:$AB$189,24,FALSE))</f>
        <v>2025</v>
      </c>
      <c r="M54" s="58" t="str">
        <f>IF(VLOOKUP($A54,Cost_Estimates!$A$3:$AB$189,25,FALSE)="","",VLOOKUP($A54,Cost_Estimates!$A$3:$AB$189,25,FALSE))</f>
        <v>Base Option Design Yr 1, Construct Yr 2/3</v>
      </c>
      <c r="N54" s="58" t="str">
        <f>IF(VLOOKUP($A54,Cost_Estimates!$A$3:$AB$189,26,FALSE)="","",VLOOKUP($A54,Cost_Estimates!$A$3:$AB$189,26,FALSE))</f>
        <v/>
      </c>
      <c r="O54" s="14" t="str">
        <f>IF(VLOOKUP($A54,Cost_Estimates!$A$3:$AB$189,27,FALSE)="","",VLOOKUP($A54,Cost_Estimates!$A$3:$AB$189,27,FALSE))</f>
        <v/>
      </c>
      <c r="P54" s="14" t="str">
        <f>IF(VLOOKUP($A54,Cost_Estimates!$A$3:$AB$189,28,FALSE)="","",VLOOKUP($A54,Cost_Estimates!$A$3:$AB$189,28,FALSE))</f>
        <v>Do we need to include annual DOC ongoing costs for track maintenance on existing tracks (and any other DOC functions)???</v>
      </c>
    </row>
    <row r="55" spans="1:16" ht="61.5" customHeight="1" x14ac:dyDescent="0.25">
      <c r="A55" s="14" t="s">
        <v>511</v>
      </c>
      <c r="B55" s="14" t="str">
        <f>IF(VLOOKUP($A55,Cost_Estimates!$A$3:$AB$189,2,FALSE)="","",VLOOKUP($A55,Cost_Estimates!$A$3:$AB$189,2,FALSE))</f>
        <v>Corridor</v>
      </c>
      <c r="C55" s="11" t="str">
        <f>IF(VLOOKUP($A55,Cost_Estimates!$A$3:$AB$189,4,FALSE)="","",VLOOKUP($A55,Cost_Estimates!$A$3:$AB$189,4,FALSE))</f>
        <v>Super track head</v>
      </c>
      <c r="D55" s="14" t="str">
        <f>IF(VLOOKUP($A55,Cost_Estimates!$A$3:$AB$189,5,FALSE)="","",VLOOKUP($A55,Cost_Estimates!$A$3:$AB$189,5,FALSE))</f>
        <v>Super Track Head - Parking Area</v>
      </c>
      <c r="E55" s="11" t="str">
        <f>IF(VLOOKUP($A55,Cost_Estimates!$A$3:$AB$189,6,FALSE)="","",VLOOKUP($A55,Cost_Estimates!$A$3:$AB$189,6,FALSE))</f>
        <v xml:space="preserve">Super Track Head - Parking for Lake Marian walkway/ trail head. Enhancement of the existing parking area </v>
      </c>
      <c r="F55" s="14" t="str">
        <f>IF(VLOOKUP($A55,Cost_Estimates!$A$3:$AB$189,7,FALSE)="","",VLOOKUP($A55,Cost_Estimates!$A$3:$AB$189,7,FALSE))</f>
        <v>m3</v>
      </c>
      <c r="G55" s="45">
        <f>IF(VLOOKUP($A55,Cost_Estimates!$A$3:$AB$189,9,FALSE)="","",VLOOKUP($A55,Cost_Estimates!$A$3:$AB$189,9,FALSE))</f>
        <v>500</v>
      </c>
      <c r="H55" s="43">
        <f>IF(VLOOKUP($A55,Cost_Estimates!$A$3:$AB$189,20,FALSE)="","",VLOOKUP($A55,Cost_Estimates!$A$3:$AB$189,20,FALSE))</f>
        <v>193000</v>
      </c>
      <c r="I55" s="7">
        <f>IF(VLOOKUP($A55,Cost_Estimates!$A$3:$AB$189,21,FALSE)="","",VLOOKUP($A55,Cost_Estimates!$A$3:$AB$189,21,FALSE))</f>
        <v>1</v>
      </c>
      <c r="J55" s="7">
        <f>IF(VLOOKUP($A55,Cost_Estimates!$A$3:$AB$189,22,FALSE)="","",VLOOKUP($A55,Cost_Estimates!$A$3:$AB$189,22,FALSE))</f>
        <v>2023</v>
      </c>
      <c r="K55" s="7">
        <f>IF(VLOOKUP($A55,Cost_Estimates!$A$3:$AB$189,23,FALSE)="","",VLOOKUP($A55,Cost_Estimates!$A$3:$AB$189,23,FALSE))</f>
        <v>4</v>
      </c>
      <c r="L55" s="7">
        <f>IF(VLOOKUP($A55,Cost_Estimates!$A$3:$AB$189,24,FALSE)="","",VLOOKUP($A55,Cost_Estimates!$A$3:$AB$189,24,FALSE))</f>
        <v>2027</v>
      </c>
      <c r="M55" s="58" t="str">
        <f>IF(VLOOKUP($A55,Cost_Estimates!$A$3:$AB$189,25,FALSE)="","",VLOOKUP($A55,Cost_Estimates!$A$3:$AB$189,25,FALSE))</f>
        <v>Base Option Design Yr 1, Construct Yr 2/4</v>
      </c>
      <c r="N55" s="58" t="str">
        <f>IF(VLOOKUP($A55,Cost_Estimates!$A$3:$AB$189,26,FALSE)="","",VLOOKUP($A55,Cost_Estimates!$A$3:$AB$189,26,FALSE))</f>
        <v/>
      </c>
      <c r="O55" s="14" t="str">
        <f>IF(VLOOKUP($A55,Cost_Estimates!$A$3:$AB$189,27,FALSE)="","",VLOOKUP($A55,Cost_Estimates!$A$3:$AB$189,27,FALSE))</f>
        <v/>
      </c>
      <c r="P55" s="14" t="str">
        <f>IF(VLOOKUP($A55,Cost_Estimates!$A$3:$AB$189,28,FALSE)="","",VLOOKUP($A55,Cost_Estimates!$A$3:$AB$189,28,FALSE))</f>
        <v>Do we need to include annual DOC ongoing costs for track maintenance on existing tracks (and any other DOC functions)???</v>
      </c>
    </row>
    <row r="56" spans="1:16" ht="61.5" customHeight="1" x14ac:dyDescent="0.25">
      <c r="A56" s="14" t="s">
        <v>512</v>
      </c>
      <c r="B56" s="14" t="str">
        <f>IF(VLOOKUP($A56,Cost_Estimates!$A$3:$AB$189,2,FALSE)="","",VLOOKUP($A56,Cost_Estimates!$A$3:$AB$189,2,FALSE))</f>
        <v>Corridor</v>
      </c>
      <c r="C56" s="11" t="str">
        <f>IF(VLOOKUP($A56,Cost_Estimates!$A$3:$AB$189,4,FALSE)="","",VLOOKUP($A56,Cost_Estimates!$A$3:$AB$189,4,FALSE))</f>
        <v>Super track head</v>
      </c>
      <c r="D56" s="14" t="str">
        <f>IF(VLOOKUP($A56,Cost_Estimates!$A$3:$AB$189,5,FALSE)="","",VLOOKUP($A56,Cost_Estimates!$A$3:$AB$189,5,FALSE))</f>
        <v>Super Track Head - Wastewater Services</v>
      </c>
      <c r="E56" s="11" t="str">
        <f>IF(VLOOKUP($A56,Cost_Estimates!$A$3:$AB$189,6,FALSE)="","",VLOOKUP($A56,Cost_Estimates!$A$3:$AB$189,6,FALSE))</f>
        <v>Vaulted collection system, with 3-4 pans (toilet block)</v>
      </c>
      <c r="F56" s="14" t="str">
        <f>IF(VLOOKUP($A56,Cost_Estimates!$A$3:$AB$189,7,FALSE)="","",VLOOKUP($A56,Cost_Estimates!$A$3:$AB$189,7,FALSE))</f>
        <v>no.</v>
      </c>
      <c r="G56" s="45">
        <f>IF(VLOOKUP($A56,Cost_Estimates!$A$3:$AB$189,9,FALSE)="","",VLOOKUP($A56,Cost_Estimates!$A$3:$AB$189,9,FALSE))</f>
        <v>1</v>
      </c>
      <c r="H56" s="43">
        <f>IF(VLOOKUP($A56,Cost_Estimates!$A$3:$AB$189,20,FALSE)="","",VLOOKUP($A56,Cost_Estimates!$A$3:$AB$189,20,FALSE))</f>
        <v>716000</v>
      </c>
      <c r="I56" s="7" t="str">
        <f>IF(VLOOKUP($A56,Cost_Estimates!$A$3:$AB$189,21,FALSE)="","",VLOOKUP($A56,Cost_Estimates!$A$3:$AB$189,21,FALSE))</f>
        <v/>
      </c>
      <c r="J56" s="7" t="str">
        <f>IF(VLOOKUP($A56,Cost_Estimates!$A$3:$AB$189,22,FALSE)="","",VLOOKUP($A56,Cost_Estimates!$A$3:$AB$189,22,FALSE))</f>
        <v/>
      </c>
      <c r="K56" s="7" t="str">
        <f>IF(VLOOKUP($A56,Cost_Estimates!$A$3:$AB$189,23,FALSE)="","",VLOOKUP($A56,Cost_Estimates!$A$3:$AB$189,23,FALSE))</f>
        <v/>
      </c>
      <c r="L56" s="7" t="str">
        <f>IF(VLOOKUP($A56,Cost_Estimates!$A$3:$AB$189,24,FALSE)="","",VLOOKUP($A56,Cost_Estimates!$A$3:$AB$189,24,FALSE))</f>
        <v/>
      </c>
      <c r="M56" s="58" t="str">
        <f>IF(VLOOKUP($A56,Cost_Estimates!$A$3:$AB$189,25,FALSE)="","",VLOOKUP($A56,Cost_Estimates!$A$3:$AB$189,25,FALSE))</f>
        <v/>
      </c>
      <c r="N56" s="58" t="str">
        <f>IF(VLOOKUP($A56,Cost_Estimates!$A$3:$AB$189,26,FALSE)="","",VLOOKUP($A56,Cost_Estimates!$A$3:$AB$189,26,FALSE))</f>
        <v/>
      </c>
      <c r="O56" s="14" t="str">
        <f>IF(VLOOKUP($A56,Cost_Estimates!$A$3:$AB$189,27,FALSE)="","",VLOOKUP($A56,Cost_Estimates!$A$3:$AB$189,27,FALSE))</f>
        <v/>
      </c>
      <c r="P56" s="14" t="str">
        <f>IF(VLOOKUP($A56,Cost_Estimates!$A$3:$AB$189,28,FALSE)="","",VLOOKUP($A56,Cost_Estimates!$A$3:$AB$189,28,FALSE))</f>
        <v/>
      </c>
    </row>
    <row r="57" spans="1:16" ht="61.5" customHeight="1" x14ac:dyDescent="0.25">
      <c r="A57" s="14" t="s">
        <v>513</v>
      </c>
      <c r="B57" s="14" t="str">
        <f>IF(VLOOKUP($A57,Cost_Estimates!$A$3:$AB$189,2,FALSE)="","",VLOOKUP($A57,Cost_Estimates!$A$3:$AB$189,2,FALSE))</f>
        <v>Corridor</v>
      </c>
      <c r="C57" s="11" t="str">
        <f>IF(VLOOKUP($A57,Cost_Estimates!$A$3:$AB$189,4,FALSE)="","",VLOOKUP($A57,Cost_Estimates!$A$3:$AB$189,4,FALSE))</f>
        <v>Super track head</v>
      </c>
      <c r="D57" s="14" t="str">
        <f>IF(VLOOKUP($A57,Cost_Estimates!$A$3:$AB$189,5,FALSE)="","",VLOOKUP($A57,Cost_Estimates!$A$3:$AB$189,5,FALSE))</f>
        <v>Super Track Head - Potable Water Services</v>
      </c>
      <c r="E57" s="11" t="str">
        <f>IF(VLOOKUP($A57,Cost_Estimates!$A$3:$AB$189,6,FALSE)="","",VLOOKUP($A57,Cost_Estimates!$A$3:$AB$189,6,FALSE))</f>
        <v>Package water supply and treatment for servicing super track head, with intake from the Hollyford River</v>
      </c>
      <c r="F57" s="14" t="str">
        <f>IF(VLOOKUP($A57,Cost_Estimates!$A$3:$AB$189,7,FALSE)="","",VLOOKUP($A57,Cost_Estimates!$A$3:$AB$189,7,FALSE))</f>
        <v>no.</v>
      </c>
      <c r="G57" s="45">
        <f>IF(VLOOKUP($A57,Cost_Estimates!$A$3:$AB$189,9,FALSE)="","",VLOOKUP($A57,Cost_Estimates!$A$3:$AB$189,9,FALSE))</f>
        <v>1</v>
      </c>
      <c r="H57" s="43">
        <f>IF(VLOOKUP($A57,Cost_Estimates!$A$3:$AB$189,20,FALSE)="","",VLOOKUP($A57,Cost_Estimates!$A$3:$AB$189,20,FALSE))</f>
        <v>1320000</v>
      </c>
      <c r="I57" s="7" t="str">
        <f>IF(VLOOKUP($A57,Cost_Estimates!$A$3:$AB$189,21,FALSE)="","",VLOOKUP($A57,Cost_Estimates!$A$3:$AB$189,21,FALSE))</f>
        <v/>
      </c>
      <c r="J57" s="7" t="str">
        <f>IF(VLOOKUP($A57,Cost_Estimates!$A$3:$AB$189,22,FALSE)="","",VLOOKUP($A57,Cost_Estimates!$A$3:$AB$189,22,FALSE))</f>
        <v/>
      </c>
      <c r="K57" s="7" t="str">
        <f>IF(VLOOKUP($A57,Cost_Estimates!$A$3:$AB$189,23,FALSE)="","",VLOOKUP($A57,Cost_Estimates!$A$3:$AB$189,23,FALSE))</f>
        <v/>
      </c>
      <c r="L57" s="7" t="str">
        <f>IF(VLOOKUP($A57,Cost_Estimates!$A$3:$AB$189,24,FALSE)="","",VLOOKUP($A57,Cost_Estimates!$A$3:$AB$189,24,FALSE))</f>
        <v/>
      </c>
      <c r="M57" s="58" t="str">
        <f>IF(VLOOKUP($A57,Cost_Estimates!$A$3:$AB$189,25,FALSE)="","",VLOOKUP($A57,Cost_Estimates!$A$3:$AB$189,25,FALSE))</f>
        <v/>
      </c>
      <c r="N57" s="58" t="str">
        <f>IF(VLOOKUP($A57,Cost_Estimates!$A$3:$AB$189,26,FALSE)="","",VLOOKUP($A57,Cost_Estimates!$A$3:$AB$189,26,FALSE))</f>
        <v/>
      </c>
      <c r="O57" s="14" t="str">
        <f>IF(VLOOKUP($A57,Cost_Estimates!$A$3:$AB$189,27,FALSE)="","",VLOOKUP($A57,Cost_Estimates!$A$3:$AB$189,27,FALSE))</f>
        <v/>
      </c>
      <c r="P57" s="14" t="str">
        <f>IF(VLOOKUP($A57,Cost_Estimates!$A$3:$AB$189,28,FALSE)="","",VLOOKUP($A57,Cost_Estimates!$A$3:$AB$189,28,FALSE))</f>
        <v/>
      </c>
    </row>
    <row r="58" spans="1:16" ht="61.5" customHeight="1" x14ac:dyDescent="0.25">
      <c r="A58" s="14" t="s">
        <v>514</v>
      </c>
      <c r="B58" s="14" t="str">
        <f>IF(VLOOKUP($A58,Cost_Estimates!$A$3:$AB$189,2,FALSE)="","",VLOOKUP($A58,Cost_Estimates!$A$3:$AB$189,2,FALSE))</f>
        <v>Corridor</v>
      </c>
      <c r="C58" s="11" t="str">
        <f>IF(VLOOKUP($A58,Cost_Estimates!$A$3:$AB$189,4,FALSE)="","",VLOOKUP($A58,Cost_Estimates!$A$3:$AB$189,4,FALSE))</f>
        <v>Super track head</v>
      </c>
      <c r="D58" s="14" t="str">
        <f>IF(VLOOKUP($A58,Cost_Estimates!$A$3:$AB$189,5,FALSE)="","",VLOOKUP($A58,Cost_Estimates!$A$3:$AB$189,5,FALSE))</f>
        <v>Super Track Head - Power</v>
      </c>
      <c r="E58" s="11" t="str">
        <f>IF(VLOOKUP($A58,Cost_Estimates!$A$3:$AB$189,6,FALSE)="","",VLOOKUP($A58,Cost_Estimates!$A$3:$AB$189,6,FALSE))</f>
        <v>Developed low head power turbine for on site power generation, allows for intake, ducting, turbine and generator, and conection to Super Track Head Experience Hub</v>
      </c>
      <c r="F58" s="14" t="str">
        <f>IF(VLOOKUP($A58,Cost_Estimates!$A$3:$AB$189,7,FALSE)="","",VLOOKUP($A58,Cost_Estimates!$A$3:$AB$189,7,FALSE))</f>
        <v>no.</v>
      </c>
      <c r="G58" s="45">
        <f>IF(VLOOKUP($A58,Cost_Estimates!$A$3:$AB$189,9,FALSE)="","",VLOOKUP($A58,Cost_Estimates!$A$3:$AB$189,9,FALSE))</f>
        <v>1</v>
      </c>
      <c r="H58" s="43">
        <f>IF(VLOOKUP($A58,Cost_Estimates!$A$3:$AB$189,20,FALSE)="","",VLOOKUP($A58,Cost_Estimates!$A$3:$AB$189,20,FALSE))</f>
        <v>2233000</v>
      </c>
      <c r="I58" s="7" t="str">
        <f>IF(VLOOKUP($A58,Cost_Estimates!$A$3:$AB$189,21,FALSE)="","",VLOOKUP($A58,Cost_Estimates!$A$3:$AB$189,21,FALSE))</f>
        <v/>
      </c>
      <c r="J58" s="7" t="str">
        <f>IF(VLOOKUP($A58,Cost_Estimates!$A$3:$AB$189,22,FALSE)="","",VLOOKUP($A58,Cost_Estimates!$A$3:$AB$189,22,FALSE))</f>
        <v/>
      </c>
      <c r="K58" s="7" t="str">
        <f>IF(VLOOKUP($A58,Cost_Estimates!$A$3:$AB$189,23,FALSE)="","",VLOOKUP($A58,Cost_Estimates!$A$3:$AB$189,23,FALSE))</f>
        <v/>
      </c>
      <c r="L58" s="7" t="str">
        <f>IF(VLOOKUP($A58,Cost_Estimates!$A$3:$AB$189,24,FALSE)="","",VLOOKUP($A58,Cost_Estimates!$A$3:$AB$189,24,FALSE))</f>
        <v/>
      </c>
      <c r="M58" s="58" t="str">
        <f>IF(VLOOKUP($A58,Cost_Estimates!$A$3:$AB$189,25,FALSE)="","",VLOOKUP($A58,Cost_Estimates!$A$3:$AB$189,25,FALSE))</f>
        <v/>
      </c>
      <c r="N58" s="58" t="str">
        <f>IF(VLOOKUP($A58,Cost_Estimates!$A$3:$AB$189,26,FALSE)="","",VLOOKUP($A58,Cost_Estimates!$A$3:$AB$189,26,FALSE))</f>
        <v/>
      </c>
      <c r="O58" s="14" t="str">
        <f>IF(VLOOKUP($A58,Cost_Estimates!$A$3:$AB$189,27,FALSE)="","",VLOOKUP($A58,Cost_Estimates!$A$3:$AB$189,27,FALSE))</f>
        <v/>
      </c>
      <c r="P58" s="14" t="str">
        <f>IF(VLOOKUP($A58,Cost_Estimates!$A$3:$AB$189,28,FALSE)="","",VLOOKUP($A58,Cost_Estimates!$A$3:$AB$189,28,FALSE))</f>
        <v/>
      </c>
    </row>
    <row r="59" spans="1:16" ht="61.5" customHeight="1" x14ac:dyDescent="0.25">
      <c r="A59" s="14" t="s">
        <v>515</v>
      </c>
      <c r="B59" s="14" t="str">
        <f>IF(VLOOKUP($A59,Cost_Estimates!$A$3:$AB$189,2,FALSE)="","",VLOOKUP($A59,Cost_Estimates!$A$3:$AB$189,2,FALSE))</f>
        <v>Corridor</v>
      </c>
      <c r="C59" s="11" t="str">
        <f>IF(VLOOKUP($A59,Cost_Estimates!$A$3:$AB$189,4,FALSE)="","",VLOOKUP($A59,Cost_Estimates!$A$3:$AB$189,4,FALSE))</f>
        <v>Super track head</v>
      </c>
      <c r="D59" s="14" t="str">
        <f>IF(VLOOKUP($A59,Cost_Estimates!$A$3:$AB$189,5,FALSE)="","",VLOOKUP($A59,Cost_Estimates!$A$3:$AB$189,5,FALSE))</f>
        <v>Walking Track - Lake Marian Loop</v>
      </c>
      <c r="E59" s="11" t="str">
        <f>IF(VLOOKUP($A59,Cost_Estimates!$A$3:$AB$189,6,FALSE)="","",VLOOKUP($A59,Cost_Estimates!$A$3:$AB$189,6,FALSE))</f>
        <v>(From Track Head) Great Walks Style of Track (ref DOC estimates, cutting into virgin terrain, variable conditions and hazards)</v>
      </c>
      <c r="F59" s="14" t="str">
        <f>IF(VLOOKUP($A59,Cost_Estimates!$A$3:$AB$189,7,FALSE)="","",VLOOKUP($A59,Cost_Estimates!$A$3:$AB$189,7,FALSE))</f>
        <v>m</v>
      </c>
      <c r="G59" s="45">
        <f>IF(VLOOKUP($A59,Cost_Estimates!$A$3:$AB$189,9,FALSE)="","",VLOOKUP($A59,Cost_Estimates!$A$3:$AB$189,9,FALSE))</f>
        <v>3100</v>
      </c>
      <c r="H59" s="43">
        <f>IF(VLOOKUP($A59,Cost_Estimates!$A$3:$AB$189,20,FALSE)="","",VLOOKUP($A59,Cost_Estimates!$A$3:$AB$189,20,FALSE))</f>
        <v>2517000</v>
      </c>
      <c r="I59" s="7">
        <f>IF(VLOOKUP($A59,Cost_Estimates!$A$3:$AB$189,21,FALSE)="","",VLOOKUP($A59,Cost_Estimates!$A$3:$AB$189,21,FALSE))</f>
        <v>0</v>
      </c>
      <c r="J59" s="7">
        <f>IF(VLOOKUP($A59,Cost_Estimates!$A$3:$AB$189,22,FALSE)="","",VLOOKUP($A59,Cost_Estimates!$A$3:$AB$189,22,FALSE))</f>
        <v>2022</v>
      </c>
      <c r="K59" s="7">
        <f>IF(VLOOKUP($A59,Cost_Estimates!$A$3:$AB$189,23,FALSE)="","",VLOOKUP($A59,Cost_Estimates!$A$3:$AB$189,23,FALSE))</f>
        <v>3</v>
      </c>
      <c r="L59" s="7">
        <f>IF(VLOOKUP($A59,Cost_Estimates!$A$3:$AB$189,24,FALSE)="","",VLOOKUP($A59,Cost_Estimates!$A$3:$AB$189,24,FALSE))</f>
        <v>2025</v>
      </c>
      <c r="M59" s="58" t="str">
        <f>IF(VLOOKUP($A59,Cost_Estimates!$A$3:$AB$189,25,FALSE)="","",VLOOKUP($A59,Cost_Estimates!$A$3:$AB$189,25,FALSE))</f>
        <v>Base Option Design Yr 1, Construct Yr 2/3</v>
      </c>
      <c r="N59" s="58" t="str">
        <f>IF(VLOOKUP($A59,Cost_Estimates!$A$3:$AB$189,26,FALSE)="","",VLOOKUP($A59,Cost_Estimates!$A$3:$AB$189,26,FALSE))</f>
        <v/>
      </c>
      <c r="O59" s="14" t="str">
        <f>IF(VLOOKUP($A59,Cost_Estimates!$A$3:$AB$189,27,FALSE)="","",VLOOKUP($A59,Cost_Estimates!$A$3:$AB$189,27,FALSE))</f>
        <v/>
      </c>
      <c r="P59" s="14" t="str">
        <f>IF(VLOOKUP($A59,Cost_Estimates!$A$3:$AB$189,28,FALSE)="","",VLOOKUP($A59,Cost_Estimates!$A$3:$AB$189,28,FALSE))</f>
        <v>Do we need to include annual DOC ongoing costs for track maintenance on existing tracks (and any other DOC functions)???</v>
      </c>
    </row>
    <row r="60" spans="1:16" ht="61.5" customHeight="1" x14ac:dyDescent="0.25">
      <c r="A60" s="14" t="s">
        <v>516</v>
      </c>
      <c r="B60" s="14" t="str">
        <f>IF(VLOOKUP($A60,Cost_Estimates!$A$3:$AB$189,2,FALSE)="","",VLOOKUP($A60,Cost_Estimates!$A$3:$AB$189,2,FALSE))</f>
        <v>Corridor</v>
      </c>
      <c r="C60" s="11" t="str">
        <f>IF(VLOOKUP($A60,Cost_Estimates!$A$3:$AB$189,4,FALSE)="","",VLOOKUP($A60,Cost_Estimates!$A$3:$AB$189,4,FALSE))</f>
        <v>Super track head</v>
      </c>
      <c r="D60" s="14" t="str">
        <f>IF(VLOOKUP($A60,Cost_Estimates!$A$3:$AB$189,5,FALSE)="","",VLOOKUP($A60,Cost_Estimates!$A$3:$AB$189,5,FALSE))</f>
        <v>Walking Track - Waterfall Loop</v>
      </c>
      <c r="E60" s="11" t="str">
        <f>IF(VLOOKUP($A60,Cost_Estimates!$A$3:$AB$189,6,FALSE)="","",VLOOKUP($A60,Cost_Estimates!$A$3:$AB$189,6,FALSE))</f>
        <v>(From Track Head) Great Walks Style of Track (ref DOC estimates, cutting into virgin terrain, variable conditions and hazards)</v>
      </c>
      <c r="F60" s="14" t="str">
        <f>IF(VLOOKUP($A60,Cost_Estimates!$A$3:$AB$189,7,FALSE)="","",VLOOKUP($A60,Cost_Estimates!$A$3:$AB$189,7,FALSE))</f>
        <v>m</v>
      </c>
      <c r="G60" s="45">
        <f>IF(VLOOKUP($A60,Cost_Estimates!$A$3:$AB$189,9,FALSE)="","",VLOOKUP($A60,Cost_Estimates!$A$3:$AB$189,9,FALSE))</f>
        <v>2850</v>
      </c>
      <c r="H60" s="43">
        <f>IF(VLOOKUP($A60,Cost_Estimates!$A$3:$AB$189,20,FALSE)="","",VLOOKUP($A60,Cost_Estimates!$A$3:$AB$189,20,FALSE))</f>
        <v>2314000</v>
      </c>
      <c r="I60" s="7">
        <f>IF(VLOOKUP($A60,Cost_Estimates!$A$3:$AB$189,21,FALSE)="","",VLOOKUP($A60,Cost_Estimates!$A$3:$AB$189,21,FALSE))</f>
        <v>0</v>
      </c>
      <c r="J60" s="7">
        <f>IF(VLOOKUP($A60,Cost_Estimates!$A$3:$AB$189,22,FALSE)="","",VLOOKUP($A60,Cost_Estimates!$A$3:$AB$189,22,FALSE))</f>
        <v>2022</v>
      </c>
      <c r="K60" s="7">
        <f>IF(VLOOKUP($A60,Cost_Estimates!$A$3:$AB$189,23,FALSE)="","",VLOOKUP($A60,Cost_Estimates!$A$3:$AB$189,23,FALSE))</f>
        <v>3</v>
      </c>
      <c r="L60" s="7">
        <f>IF(VLOOKUP($A60,Cost_Estimates!$A$3:$AB$189,24,FALSE)="","",VLOOKUP($A60,Cost_Estimates!$A$3:$AB$189,24,FALSE))</f>
        <v>2025</v>
      </c>
      <c r="M60" s="58" t="str">
        <f>IF(VLOOKUP($A60,Cost_Estimates!$A$3:$AB$189,25,FALSE)="","",VLOOKUP($A60,Cost_Estimates!$A$3:$AB$189,25,FALSE))</f>
        <v>Base Option Design Yr 1, Construct Yr 2/3</v>
      </c>
      <c r="N60" s="58" t="str">
        <f>IF(VLOOKUP($A60,Cost_Estimates!$A$3:$AB$189,26,FALSE)="","",VLOOKUP($A60,Cost_Estimates!$A$3:$AB$189,26,FALSE))</f>
        <v/>
      </c>
      <c r="O60" s="14" t="str">
        <f>IF(VLOOKUP($A60,Cost_Estimates!$A$3:$AB$189,27,FALSE)="","",VLOOKUP($A60,Cost_Estimates!$A$3:$AB$189,27,FALSE))</f>
        <v/>
      </c>
      <c r="P60" s="14" t="str">
        <f>IF(VLOOKUP($A60,Cost_Estimates!$A$3:$AB$189,28,FALSE)="","",VLOOKUP($A60,Cost_Estimates!$A$3:$AB$189,28,FALSE))</f>
        <v>Do we need to include annual DOC ongoing costs for track maintenance on existing tracks (and any other DOC functions)???</v>
      </c>
    </row>
    <row r="61" spans="1:16" ht="61.5" customHeight="1" x14ac:dyDescent="0.25">
      <c r="A61" s="14" t="s">
        <v>517</v>
      </c>
      <c r="B61" s="14" t="str">
        <f>IF(VLOOKUP($A61,Cost_Estimates!$A$3:$AB$189,2,FALSE)="","",VLOOKUP($A61,Cost_Estimates!$A$3:$AB$189,2,FALSE))</f>
        <v>Corridor</v>
      </c>
      <c r="C61" s="11" t="str">
        <f>IF(VLOOKUP($A61,Cost_Estimates!$A$3:$AB$189,4,FALSE)="","",VLOOKUP($A61,Cost_Estimates!$A$3:$AB$189,4,FALSE))</f>
        <v>Super track head</v>
      </c>
      <c r="D61" s="14" t="str">
        <f>IF(VLOOKUP($A61,Cost_Estimates!$A$3:$AB$189,5,FALSE)="","",VLOOKUP($A61,Cost_Estimates!$A$3:$AB$189,5,FALSE))</f>
        <v>Walking Track - Nature Loop</v>
      </c>
      <c r="E61" s="11" t="str">
        <f>IF(VLOOKUP($A61,Cost_Estimates!$A$3:$AB$189,6,FALSE)="","",VLOOKUP($A61,Cost_Estimates!$A$3:$AB$189,6,FALSE))</f>
        <v>(From Track Head) Great Walks Style of Track (ref DOC estimates, cutting into virgin terrain, variable conditions and hazards)</v>
      </c>
      <c r="F61" s="14" t="str">
        <f>IF(VLOOKUP($A61,Cost_Estimates!$A$3:$AB$189,7,FALSE)="","",VLOOKUP($A61,Cost_Estimates!$A$3:$AB$189,7,FALSE))</f>
        <v>m</v>
      </c>
      <c r="G61" s="45">
        <f>IF(VLOOKUP($A61,Cost_Estimates!$A$3:$AB$189,9,FALSE)="","",VLOOKUP($A61,Cost_Estimates!$A$3:$AB$189,9,FALSE))</f>
        <v>2300</v>
      </c>
      <c r="H61" s="43">
        <f>IF(VLOOKUP($A61,Cost_Estimates!$A$3:$AB$189,20,FALSE)="","",VLOOKUP($A61,Cost_Estimates!$A$3:$AB$189,20,FALSE))</f>
        <v>1868000</v>
      </c>
      <c r="I61" s="7">
        <f>IF(VLOOKUP($A61,Cost_Estimates!$A$3:$AB$189,21,FALSE)="","",VLOOKUP($A61,Cost_Estimates!$A$3:$AB$189,21,FALSE))</f>
        <v>0</v>
      </c>
      <c r="J61" s="7">
        <f>IF(VLOOKUP($A61,Cost_Estimates!$A$3:$AB$189,22,FALSE)="","",VLOOKUP($A61,Cost_Estimates!$A$3:$AB$189,22,FALSE))</f>
        <v>2022</v>
      </c>
      <c r="K61" s="7">
        <f>IF(VLOOKUP($A61,Cost_Estimates!$A$3:$AB$189,23,FALSE)="","",VLOOKUP($A61,Cost_Estimates!$A$3:$AB$189,23,FALSE))</f>
        <v>3</v>
      </c>
      <c r="L61" s="7">
        <f>IF(VLOOKUP($A61,Cost_Estimates!$A$3:$AB$189,24,FALSE)="","",VLOOKUP($A61,Cost_Estimates!$A$3:$AB$189,24,FALSE))</f>
        <v>2025</v>
      </c>
      <c r="M61" s="58" t="str">
        <f>IF(VLOOKUP($A61,Cost_Estimates!$A$3:$AB$189,25,FALSE)="","",VLOOKUP($A61,Cost_Estimates!$A$3:$AB$189,25,FALSE))</f>
        <v>Base Option Design Yr 1, Construct Yr 2/3</v>
      </c>
      <c r="N61" s="58" t="str">
        <f>IF(VLOOKUP($A61,Cost_Estimates!$A$3:$AB$189,26,FALSE)="","",VLOOKUP($A61,Cost_Estimates!$A$3:$AB$189,26,FALSE))</f>
        <v/>
      </c>
      <c r="O61" s="14" t="str">
        <f>IF(VLOOKUP($A61,Cost_Estimates!$A$3:$AB$189,27,FALSE)="","",VLOOKUP($A61,Cost_Estimates!$A$3:$AB$189,27,FALSE))</f>
        <v/>
      </c>
      <c r="P61" s="14" t="str">
        <f>IF(VLOOKUP($A61,Cost_Estimates!$A$3:$AB$189,28,FALSE)="","",VLOOKUP($A61,Cost_Estimates!$A$3:$AB$189,28,FALSE))</f>
        <v>Do we need to include annual DOC ongoing costs for track maintenance on existing tracks (and any other DOC functions)???</v>
      </c>
    </row>
    <row r="62" spans="1:16" ht="61.5" customHeight="1" x14ac:dyDescent="0.25">
      <c r="A62" s="14" t="s">
        <v>518</v>
      </c>
      <c r="B62" s="14" t="str">
        <f>IF(VLOOKUP($A62,Cost_Estimates!$A$3:$AB$189,2,FALSE)="","",VLOOKUP($A62,Cost_Estimates!$A$3:$AB$189,2,FALSE))</f>
        <v>Corridor</v>
      </c>
      <c r="C62" s="11" t="str">
        <f>IF(VLOOKUP($A62,Cost_Estimates!$A$3:$AB$189,4,FALSE)="","",VLOOKUP($A62,Cost_Estimates!$A$3:$AB$189,4,FALSE))</f>
        <v>Super track head</v>
      </c>
      <c r="D62" s="14" t="str">
        <f>IF(VLOOKUP($A62,Cost_Estimates!$A$3:$AB$189,5,FALSE)="","",VLOOKUP($A62,Cost_Estimates!$A$3:$AB$189,5,FALSE))</f>
        <v xml:space="preserve">Walking Track - Track Head to Key Summit </v>
      </c>
      <c r="E62" s="11" t="str">
        <f>IF(VLOOKUP($A62,Cost_Estimates!$A$3:$AB$189,6,FALSE)="","",VLOOKUP($A62,Cost_Estimates!$A$3:$AB$189,6,FALSE))</f>
        <v>(From Track Head) Great Walks Style of Track (ref DOC estimates, cutting into virgin terrain, variable conditions and hazards)</v>
      </c>
      <c r="F62" s="14" t="str">
        <f>IF(VLOOKUP($A62,Cost_Estimates!$A$3:$AB$189,7,FALSE)="","",VLOOKUP($A62,Cost_Estimates!$A$3:$AB$189,7,FALSE))</f>
        <v>m</v>
      </c>
      <c r="G62" s="45">
        <f>IF(VLOOKUP($A62,Cost_Estimates!$A$3:$AB$189,9,FALSE)="","",VLOOKUP($A62,Cost_Estimates!$A$3:$AB$189,9,FALSE))</f>
        <v>2700</v>
      </c>
      <c r="H62" s="43">
        <f>IF(VLOOKUP($A62,Cost_Estimates!$A$3:$AB$189,20,FALSE)="","",VLOOKUP($A62,Cost_Estimates!$A$3:$AB$189,20,FALSE))</f>
        <v>2192000</v>
      </c>
      <c r="I62" s="7">
        <f>IF(VLOOKUP($A62,Cost_Estimates!$A$3:$AB$189,21,FALSE)="","",VLOOKUP($A62,Cost_Estimates!$A$3:$AB$189,21,FALSE))</f>
        <v>0</v>
      </c>
      <c r="J62" s="7">
        <f>IF(VLOOKUP($A62,Cost_Estimates!$A$3:$AB$189,22,FALSE)="","",VLOOKUP($A62,Cost_Estimates!$A$3:$AB$189,22,FALSE))</f>
        <v>2022</v>
      </c>
      <c r="K62" s="7">
        <f>IF(VLOOKUP($A62,Cost_Estimates!$A$3:$AB$189,23,FALSE)="","",VLOOKUP($A62,Cost_Estimates!$A$3:$AB$189,23,FALSE))</f>
        <v>3</v>
      </c>
      <c r="L62" s="7">
        <f>IF(VLOOKUP($A62,Cost_Estimates!$A$3:$AB$189,24,FALSE)="","",VLOOKUP($A62,Cost_Estimates!$A$3:$AB$189,24,FALSE))</f>
        <v>2025</v>
      </c>
      <c r="M62" s="58" t="str">
        <f>IF(VLOOKUP($A62,Cost_Estimates!$A$3:$AB$189,25,FALSE)="","",VLOOKUP($A62,Cost_Estimates!$A$3:$AB$189,25,FALSE))</f>
        <v>Base Option Design Yr 1, Construct Yr 2/3</v>
      </c>
      <c r="N62" s="58" t="str">
        <f>IF(VLOOKUP($A62,Cost_Estimates!$A$3:$AB$189,26,FALSE)="","",VLOOKUP($A62,Cost_Estimates!$A$3:$AB$189,26,FALSE))</f>
        <v/>
      </c>
      <c r="O62" s="14" t="str">
        <f>IF(VLOOKUP($A62,Cost_Estimates!$A$3:$AB$189,27,FALSE)="","",VLOOKUP($A62,Cost_Estimates!$A$3:$AB$189,27,FALSE))</f>
        <v/>
      </c>
      <c r="P62" s="14" t="str">
        <f>IF(VLOOKUP($A62,Cost_Estimates!$A$3:$AB$189,28,FALSE)="","",VLOOKUP($A62,Cost_Estimates!$A$3:$AB$189,28,FALSE))</f>
        <v>Do we need to include annual DOC ongoing costs for track maintenance on existing tracks (and any other DOC functions)???</v>
      </c>
    </row>
    <row r="63" spans="1:16" ht="61.5" customHeight="1" x14ac:dyDescent="0.25">
      <c r="A63" s="14" t="s">
        <v>519</v>
      </c>
      <c r="B63" s="14" t="str">
        <f>IF(VLOOKUP($A63,Cost_Estimates!$A$3:$AB$189,2,FALSE)="","",VLOOKUP($A63,Cost_Estimates!$A$3:$AB$189,2,FALSE))</f>
        <v>Corridor</v>
      </c>
      <c r="C63" s="11" t="str">
        <f>IF(VLOOKUP($A63,Cost_Estimates!$A$3:$AB$189,4,FALSE)="","",VLOOKUP($A63,Cost_Estimates!$A$3:$AB$189,4,FALSE))</f>
        <v>Super track head</v>
      </c>
      <c r="D63" s="14" t="str">
        <f>IF(VLOOKUP($A63,Cost_Estimates!$A$3:$AB$189,5,FALSE)="","",VLOOKUP($A63,Cost_Estimates!$A$3:$AB$189,5,FALSE))</f>
        <v xml:space="preserve">Walking Track - Cascade Creek to Key Summit </v>
      </c>
      <c r="E63" s="11" t="str">
        <f>IF(VLOOKUP($A63,Cost_Estimates!$A$3:$AB$189,6,FALSE)="","",VLOOKUP($A63,Cost_Estimates!$A$3:$AB$189,6,FALSE))</f>
        <v>(From Track Head) Great Walks Style of Track (ref DOC estimates, cutting into virgin terrain, variable conditions and hazards)</v>
      </c>
      <c r="F63" s="14" t="str">
        <f>IF(VLOOKUP($A63,Cost_Estimates!$A$3:$AB$189,7,FALSE)="","",VLOOKUP($A63,Cost_Estimates!$A$3:$AB$189,7,FALSE))</f>
        <v>m</v>
      </c>
      <c r="G63" s="45">
        <f>IF(VLOOKUP($A63,Cost_Estimates!$A$3:$AB$189,9,FALSE)="","",VLOOKUP($A63,Cost_Estimates!$A$3:$AB$189,9,FALSE))</f>
        <v>12900</v>
      </c>
      <c r="H63" s="43">
        <f>IF(VLOOKUP($A63,Cost_Estimates!$A$3:$AB$189,20,FALSE)="","",VLOOKUP($A63,Cost_Estimates!$A$3:$AB$189,20,FALSE))</f>
        <v>10472000</v>
      </c>
      <c r="I63" s="7">
        <f>IF(VLOOKUP($A63,Cost_Estimates!$A$3:$AB$189,21,FALSE)="","",VLOOKUP($A63,Cost_Estimates!$A$3:$AB$189,21,FALSE))</f>
        <v>1</v>
      </c>
      <c r="J63" s="7">
        <f>IF(VLOOKUP($A63,Cost_Estimates!$A$3:$AB$189,22,FALSE)="","",VLOOKUP($A63,Cost_Estimates!$A$3:$AB$189,22,FALSE))</f>
        <v>2023</v>
      </c>
      <c r="K63" s="7">
        <f>IF(VLOOKUP($A63,Cost_Estimates!$A$3:$AB$189,23,FALSE)="","",VLOOKUP($A63,Cost_Estimates!$A$3:$AB$189,23,FALSE))</f>
        <v>4</v>
      </c>
      <c r="L63" s="7">
        <f>IF(VLOOKUP($A63,Cost_Estimates!$A$3:$AB$189,24,FALSE)="","",VLOOKUP($A63,Cost_Estimates!$A$3:$AB$189,24,FALSE))</f>
        <v>2027</v>
      </c>
      <c r="M63" s="58" t="str">
        <f>IF(VLOOKUP($A63,Cost_Estimates!$A$3:$AB$189,25,FALSE)="","",VLOOKUP($A63,Cost_Estimates!$A$3:$AB$189,25,FALSE))</f>
        <v>Base Option Design Yr 1, Construct Yr 2/4</v>
      </c>
      <c r="N63" s="58" t="str">
        <f>IF(VLOOKUP($A63,Cost_Estimates!$A$3:$AB$189,26,FALSE)="","",VLOOKUP($A63,Cost_Estimates!$A$3:$AB$189,26,FALSE))</f>
        <v/>
      </c>
      <c r="O63" s="14" t="str">
        <f>IF(VLOOKUP($A63,Cost_Estimates!$A$3:$AB$189,27,FALSE)="","",VLOOKUP($A63,Cost_Estimates!$A$3:$AB$189,27,FALSE))</f>
        <v/>
      </c>
      <c r="P63" s="14" t="str">
        <f>IF(VLOOKUP($A63,Cost_Estimates!$A$3:$AB$189,28,FALSE)="","",VLOOKUP($A63,Cost_Estimates!$A$3:$AB$189,28,FALSE))</f>
        <v>Do we need to include annual DOC ongoing costs for track maintenance on existing tracks (and any other DOC functions)???</v>
      </c>
    </row>
    <row r="64" spans="1:16" ht="61.5" customHeight="1" x14ac:dyDescent="0.25">
      <c r="A64" s="14" t="s">
        <v>520</v>
      </c>
      <c r="B64" s="14" t="str">
        <f>IF(VLOOKUP($A64,Cost_Estimates!$A$3:$AB$189,2,FALSE)="","",VLOOKUP($A64,Cost_Estimates!$A$3:$AB$189,2,FALSE))</f>
        <v>Corridor</v>
      </c>
      <c r="C64" s="11" t="str">
        <f>IF(VLOOKUP($A64,Cost_Estimates!$A$3:$AB$189,4,FALSE)="","",VLOOKUP($A64,Cost_Estimates!$A$3:$AB$189,4,FALSE))</f>
        <v>Super track head</v>
      </c>
      <c r="D64" s="14" t="str">
        <f>IF(VLOOKUP($A64,Cost_Estimates!$A$3:$AB$189,5,FALSE)="","",VLOOKUP($A64,Cost_Estimates!$A$3:$AB$189,5,FALSE))</f>
        <v>Walking Track - Lake Howden - Upgrade</v>
      </c>
      <c r="E64" s="11" t="str">
        <f>IF(VLOOKUP($A64,Cost_Estimates!$A$3:$AB$189,6,FALSE)="","",VLOOKUP($A64,Cost_Estimates!$A$3:$AB$189,6,FALSE))</f>
        <v>(From Track Head) Great Walks Style of Track (ref DOC estimates, cutting into virgin terrain, variable conditions and hazards) Upgrade at 50% of full development cost</v>
      </c>
      <c r="F64" s="14" t="str">
        <f>IF(VLOOKUP($A64,Cost_Estimates!$A$3:$AB$189,7,FALSE)="","",VLOOKUP($A64,Cost_Estimates!$A$3:$AB$189,7,FALSE))</f>
        <v>m</v>
      </c>
      <c r="G64" s="45">
        <f>IF(VLOOKUP($A64,Cost_Estimates!$A$3:$AB$189,9,FALSE)="","",VLOOKUP($A64,Cost_Estimates!$A$3:$AB$189,9,FALSE))</f>
        <v>4500</v>
      </c>
      <c r="H64" s="43">
        <f>IF(VLOOKUP($A64,Cost_Estimates!$A$3:$AB$189,20,FALSE)="","",VLOOKUP($A64,Cost_Estimates!$A$3:$AB$189,20,FALSE))</f>
        <v>1827000</v>
      </c>
      <c r="I64" s="7">
        <f>IF(VLOOKUP($A64,Cost_Estimates!$A$3:$AB$189,21,FALSE)="","",VLOOKUP($A64,Cost_Estimates!$A$3:$AB$189,21,FALSE))</f>
        <v>0</v>
      </c>
      <c r="J64" s="7">
        <f>IF(VLOOKUP($A64,Cost_Estimates!$A$3:$AB$189,22,FALSE)="","",VLOOKUP($A64,Cost_Estimates!$A$3:$AB$189,22,FALSE))</f>
        <v>2022</v>
      </c>
      <c r="K64" s="7">
        <f>IF(VLOOKUP($A64,Cost_Estimates!$A$3:$AB$189,23,FALSE)="","",VLOOKUP($A64,Cost_Estimates!$A$3:$AB$189,23,FALSE))</f>
        <v>3</v>
      </c>
      <c r="L64" s="7">
        <f>IF(VLOOKUP($A64,Cost_Estimates!$A$3:$AB$189,24,FALSE)="","",VLOOKUP($A64,Cost_Estimates!$A$3:$AB$189,24,FALSE))</f>
        <v>2025</v>
      </c>
      <c r="M64" s="58" t="str">
        <f>IF(VLOOKUP($A64,Cost_Estimates!$A$3:$AB$189,25,FALSE)="","",VLOOKUP($A64,Cost_Estimates!$A$3:$AB$189,25,FALSE))</f>
        <v>Base Option Design Yr 1, Construct Yr 2/3</v>
      </c>
      <c r="N64" s="58" t="str">
        <f>IF(VLOOKUP($A64,Cost_Estimates!$A$3:$AB$189,26,FALSE)="","",VLOOKUP($A64,Cost_Estimates!$A$3:$AB$189,26,FALSE))</f>
        <v/>
      </c>
      <c r="O64" s="14" t="str">
        <f>IF(VLOOKUP($A64,Cost_Estimates!$A$3:$AB$189,27,FALSE)="","",VLOOKUP($A64,Cost_Estimates!$A$3:$AB$189,27,FALSE))</f>
        <v/>
      </c>
      <c r="P64" s="14" t="str">
        <f>IF(VLOOKUP($A64,Cost_Estimates!$A$3:$AB$189,28,FALSE)="","",VLOOKUP($A64,Cost_Estimates!$A$3:$AB$189,28,FALSE))</f>
        <v>Do we need to include annual DOC ongoing costs for track maintenance on existing tracks (and any other DOC functions)???</v>
      </c>
    </row>
    <row r="65" spans="1:16" ht="61.5" customHeight="1" x14ac:dyDescent="0.25">
      <c r="A65" s="14" t="s">
        <v>521</v>
      </c>
      <c r="B65" s="14" t="str">
        <f>IF(VLOOKUP($A65,Cost_Estimates!$A$3:$AB$189,2,FALSE)="","",VLOOKUP($A65,Cost_Estimates!$A$3:$AB$189,2,FALSE))</f>
        <v>Corridor</v>
      </c>
      <c r="C65" s="11" t="str">
        <f>IF(VLOOKUP($A65,Cost_Estimates!$A$3:$AB$189,4,FALSE)="","",VLOOKUP($A65,Cost_Estimates!$A$3:$AB$189,4,FALSE))</f>
        <v>Super track head</v>
      </c>
      <c r="D65" s="14" t="str">
        <f>IF(VLOOKUP($A65,Cost_Estimates!$A$3:$AB$189,5,FALSE)="","",VLOOKUP($A65,Cost_Estimates!$A$3:$AB$189,5,FALSE))</f>
        <v>Walking Track - Track Head to Hollyford Track</v>
      </c>
      <c r="E65" s="11" t="str">
        <f>IF(VLOOKUP($A65,Cost_Estimates!$A$3:$AB$189,6,FALSE)="","",VLOOKUP($A65,Cost_Estimates!$A$3:$AB$189,6,FALSE))</f>
        <v>(From Track Head) Great Walks Style of Track (ref DOC estimates, cutting into virgin terrain, variable conditions and hazards)</v>
      </c>
      <c r="F65" s="14" t="str">
        <f>IF(VLOOKUP($A65,Cost_Estimates!$A$3:$AB$189,7,FALSE)="","",VLOOKUP($A65,Cost_Estimates!$A$3:$AB$189,7,FALSE))</f>
        <v>m</v>
      </c>
      <c r="G65" s="45">
        <f>IF(VLOOKUP($A65,Cost_Estimates!$A$3:$AB$189,9,FALSE)="","",VLOOKUP($A65,Cost_Estimates!$A$3:$AB$189,9,FALSE))</f>
        <v>7000</v>
      </c>
      <c r="H65" s="43">
        <f>IF(VLOOKUP($A65,Cost_Estimates!$A$3:$AB$189,20,FALSE)="","",VLOOKUP($A65,Cost_Estimates!$A$3:$AB$189,20,FALSE))</f>
        <v>5683000</v>
      </c>
      <c r="I65" s="7">
        <f>IF(VLOOKUP($A65,Cost_Estimates!$A$3:$AB$189,21,FALSE)="","",VLOOKUP($A65,Cost_Estimates!$A$3:$AB$189,21,FALSE))</f>
        <v>0</v>
      </c>
      <c r="J65" s="7">
        <f>IF(VLOOKUP($A65,Cost_Estimates!$A$3:$AB$189,22,FALSE)="","",VLOOKUP($A65,Cost_Estimates!$A$3:$AB$189,22,FALSE))</f>
        <v>2022</v>
      </c>
      <c r="K65" s="7">
        <f>IF(VLOOKUP($A65,Cost_Estimates!$A$3:$AB$189,23,FALSE)="","",VLOOKUP($A65,Cost_Estimates!$A$3:$AB$189,23,FALSE))</f>
        <v>3</v>
      </c>
      <c r="L65" s="7">
        <f>IF(VLOOKUP($A65,Cost_Estimates!$A$3:$AB$189,24,FALSE)="","",VLOOKUP($A65,Cost_Estimates!$A$3:$AB$189,24,FALSE))</f>
        <v>2025</v>
      </c>
      <c r="M65" s="58" t="str">
        <f>IF(VLOOKUP($A65,Cost_Estimates!$A$3:$AB$189,25,FALSE)="","",VLOOKUP($A65,Cost_Estimates!$A$3:$AB$189,25,FALSE))</f>
        <v>Base Option Design Yr 1, Construct Yr 2/3</v>
      </c>
      <c r="N65" s="58" t="str">
        <f>IF(VLOOKUP($A65,Cost_Estimates!$A$3:$AB$189,26,FALSE)="","",VLOOKUP($A65,Cost_Estimates!$A$3:$AB$189,26,FALSE))</f>
        <v/>
      </c>
      <c r="O65" s="14" t="str">
        <f>IF(VLOOKUP($A65,Cost_Estimates!$A$3:$AB$189,27,FALSE)="","",VLOOKUP($A65,Cost_Estimates!$A$3:$AB$189,27,FALSE))</f>
        <v/>
      </c>
      <c r="P65" s="14" t="str">
        <f>IF(VLOOKUP($A65,Cost_Estimates!$A$3:$AB$189,28,FALSE)="","",VLOOKUP($A65,Cost_Estimates!$A$3:$AB$189,28,FALSE))</f>
        <v>Do we need to include annual DOC ongoing costs for track maintenance on existing tracks (and any other DOC functions)???</v>
      </c>
    </row>
    <row r="66" spans="1:16" ht="23.45" customHeight="1" x14ac:dyDescent="0.25">
      <c r="A66" s="83"/>
      <c r="B66" s="83"/>
      <c r="C66" s="84"/>
      <c r="D66" s="83"/>
      <c r="E66" s="84"/>
      <c r="F66" s="83"/>
      <c r="G66" s="86"/>
      <c r="H66" s="87"/>
      <c r="I66" s="86"/>
      <c r="J66" s="86"/>
      <c r="K66" s="86"/>
      <c r="L66" s="86"/>
      <c r="M66" s="89"/>
      <c r="N66" s="89"/>
      <c r="O66" s="83"/>
      <c r="P66" s="83"/>
    </row>
    <row r="67" spans="1:16" ht="62.1" customHeight="1" x14ac:dyDescent="0.25">
      <c r="A67" s="14" t="s">
        <v>528</v>
      </c>
      <c r="B67" s="14" t="str">
        <f>IF(VLOOKUP($A67,Cost_Estimates!$A$3:$AB$189,2,FALSE)="","",VLOOKUP($A67,Cost_Estimates!$A$3:$AB$189,2,FALSE))</f>
        <v>Te Anau</v>
      </c>
      <c r="C67" s="11" t="str">
        <f>IF(VLOOKUP($A67,Cost_Estimates!$A$3:$AB$189,4,FALSE)="","",VLOOKUP($A67,Cost_Estimates!$A$3:$AB$189,4,FALSE))</f>
        <v>Visitor Hub</v>
      </c>
      <c r="D67" s="14" t="str">
        <f>IF(VLOOKUP($A67,Cost_Estimates!$A$3:$AB$189,5,FALSE)="","",VLOOKUP($A67,Cost_Estimates!$A$3:$AB$189,5,FALSE))</f>
        <v>Structures - Visitor Experience Hub - Te Anau</v>
      </c>
      <c r="E67" s="11" t="str">
        <f>IF(VLOOKUP($A67,Cost_Estimates!$A$3:$AB$189,6,FALSE)="","",VLOOKUP($A67,Cost_Estimates!$A$3:$AB$189,6,FALSE))</f>
        <v xml:space="preserve">Facility developed to act as the focal point for the overall experience in Te Anau. Ticketing, interactive displays, information, services. </v>
      </c>
      <c r="F67" s="14" t="str">
        <f>IF(VLOOKUP($A67,Cost_Estimates!$A$3:$AB$189,7,FALSE)="","",VLOOKUP($A67,Cost_Estimates!$A$3:$AB$189,7,FALSE))</f>
        <v>m2</v>
      </c>
      <c r="G67" s="45">
        <f>IF(VLOOKUP($A67,Cost_Estimates!$A$3:$AB$189,9,FALSE)="","",VLOOKUP($A67,Cost_Estimates!$A$3:$AB$189,9,FALSE))</f>
        <v>1000</v>
      </c>
      <c r="H67" s="43">
        <f>IF(VLOOKUP($A67,Cost_Estimates!$A$3:$AB$189,20,FALSE)="","",VLOOKUP($A67,Cost_Estimates!$A$3:$AB$189,20,FALSE))</f>
        <v>10259000</v>
      </c>
      <c r="I67" s="7">
        <f>IF(VLOOKUP($A67,Cost_Estimates!$A$3:$AB$189,21,FALSE)="","",VLOOKUP($A67,Cost_Estimates!$A$3:$AB$189,21,FALSE))</f>
        <v>0</v>
      </c>
      <c r="J67" s="7">
        <f>IF(VLOOKUP($A67,Cost_Estimates!$A$3:$AB$189,22,FALSE)="","",VLOOKUP($A67,Cost_Estimates!$A$3:$AB$189,22,FALSE))</f>
        <v>2022</v>
      </c>
      <c r="K67" s="7">
        <f>IF(VLOOKUP($A67,Cost_Estimates!$A$3:$AB$189,23,FALSE)="","",VLOOKUP($A67,Cost_Estimates!$A$3:$AB$189,23,FALSE))</f>
        <v>3</v>
      </c>
      <c r="L67" s="7">
        <f>IF(VLOOKUP($A67,Cost_Estimates!$A$3:$AB$189,24,FALSE)="","",VLOOKUP($A67,Cost_Estimates!$A$3:$AB$189,24,FALSE))</f>
        <v>2025</v>
      </c>
      <c r="M67" s="58" t="str">
        <f>IF(VLOOKUP($A67,Cost_Estimates!$A$3:$AB$189,25,FALSE)="","",VLOOKUP($A67,Cost_Estimates!$A$3:$AB$189,25,FALSE))</f>
        <v>Base Option Design Yr 1, Construct Yr 2/3</v>
      </c>
      <c r="N67" s="58" t="str">
        <f>IF(VLOOKUP($A67,Cost_Estimates!$A$3:$AB$189,26,FALSE)="","",VLOOKUP($A67,Cost_Estimates!$A$3:$AB$189,26,FALSE))</f>
        <v/>
      </c>
      <c r="O67" s="14" t="str">
        <f>IF(VLOOKUP($A67,Cost_Estimates!$A$3:$AB$189,27,FALSE)="","",VLOOKUP($A67,Cost_Estimates!$A$3:$AB$189,27,FALSE))</f>
        <v/>
      </c>
      <c r="P67" s="14" t="str">
        <f>IF(VLOOKUP($A67,Cost_Estimates!$A$3:$AB$189,28,FALSE)="","",VLOOKUP($A67,Cost_Estimates!$A$3:$AB$189,28,FALSE))</f>
        <v/>
      </c>
    </row>
    <row r="68" spans="1:16" ht="62.1" customHeight="1" x14ac:dyDescent="0.25">
      <c r="A68" s="14" t="s">
        <v>529</v>
      </c>
      <c r="B68" s="14" t="str">
        <f>IF(VLOOKUP($A68,Cost_Estimates!$A$3:$AB$189,2,FALSE)="","",VLOOKUP($A68,Cost_Estimates!$A$3:$AB$189,2,FALSE))</f>
        <v>Te Anau</v>
      </c>
      <c r="C68" s="11" t="str">
        <f>IF(VLOOKUP($A68,Cost_Estimates!$A$3:$AB$189,4,FALSE)="","",VLOOKUP($A68,Cost_Estimates!$A$3:$AB$189,4,FALSE))</f>
        <v>Visitor Hub</v>
      </c>
      <c r="D68" s="14" t="str">
        <f>IF(VLOOKUP($A68,Cost_Estimates!$A$3:$AB$189,5,FALSE)="","",VLOOKUP($A68,Cost_Estimates!$A$3:$AB$189,5,FALSE))</f>
        <v>Landscaping - Visitor Experience Hub - Te Anau</v>
      </c>
      <c r="E68" s="11" t="str">
        <f>IF(VLOOKUP($A68,Cost_Estimates!$A$3:$AB$189,6,FALSE)="","",VLOOKUP($A68,Cost_Estimates!$A$3:$AB$189,6,FALSE))</f>
        <v>Provison for an enhanced enviroment including paving and landscaping surrounding the Visitor Hub</v>
      </c>
      <c r="F68" s="14" t="str">
        <f>IF(VLOOKUP($A68,Cost_Estimates!$A$3:$AB$189,7,FALSE)="","",VLOOKUP($A68,Cost_Estimates!$A$3:$AB$189,7,FALSE))</f>
        <v>m2</v>
      </c>
      <c r="G68" s="45">
        <f>IF(VLOOKUP($A68,Cost_Estimates!$A$3:$AB$189,9,FALSE)="","",VLOOKUP($A68,Cost_Estimates!$A$3:$AB$189,9,FALSE))</f>
        <v>10000</v>
      </c>
      <c r="H68" s="43">
        <f>IF(VLOOKUP($A68,Cost_Estimates!$A$3:$AB$189,20,FALSE)="","",VLOOKUP($A68,Cost_Estimates!$A$3:$AB$189,20,FALSE))</f>
        <v>5130000</v>
      </c>
      <c r="I68" s="7" t="str">
        <f>IF(VLOOKUP($A68,Cost_Estimates!$A$3:$AB$189,21,FALSE)="","",VLOOKUP($A68,Cost_Estimates!$A$3:$AB$189,21,FALSE))</f>
        <v/>
      </c>
      <c r="J68" s="7" t="str">
        <f>IF(VLOOKUP($A68,Cost_Estimates!$A$3:$AB$189,22,FALSE)="","",VLOOKUP($A68,Cost_Estimates!$A$3:$AB$189,22,FALSE))</f>
        <v/>
      </c>
      <c r="K68" s="7" t="str">
        <f>IF(VLOOKUP($A68,Cost_Estimates!$A$3:$AB$189,23,FALSE)="","",VLOOKUP($A68,Cost_Estimates!$A$3:$AB$189,23,FALSE))</f>
        <v/>
      </c>
      <c r="L68" s="7" t="str">
        <f>IF(VLOOKUP($A68,Cost_Estimates!$A$3:$AB$189,24,FALSE)="","",VLOOKUP($A68,Cost_Estimates!$A$3:$AB$189,24,FALSE))</f>
        <v/>
      </c>
      <c r="M68" s="58" t="str">
        <f>IF(VLOOKUP($A68,Cost_Estimates!$A$3:$AB$189,25,FALSE)="","",VLOOKUP($A68,Cost_Estimates!$A$3:$AB$189,25,FALSE))</f>
        <v/>
      </c>
      <c r="N68" s="58" t="str">
        <f>IF(VLOOKUP($A68,Cost_Estimates!$A$3:$AB$189,26,FALSE)="","",VLOOKUP($A68,Cost_Estimates!$A$3:$AB$189,26,FALSE))</f>
        <v/>
      </c>
      <c r="O68" s="14" t="str">
        <f>IF(VLOOKUP($A68,Cost_Estimates!$A$3:$AB$189,27,FALSE)="","",VLOOKUP($A68,Cost_Estimates!$A$3:$AB$189,27,FALSE))</f>
        <v/>
      </c>
      <c r="P68" s="14" t="str">
        <f>IF(VLOOKUP($A68,Cost_Estimates!$A$3:$AB$189,28,FALSE)="","",VLOOKUP($A68,Cost_Estimates!$A$3:$AB$189,28,FALSE))</f>
        <v/>
      </c>
    </row>
    <row r="69" spans="1:16" ht="62.1" customHeight="1" x14ac:dyDescent="0.25">
      <c r="A69" s="14" t="s">
        <v>530</v>
      </c>
      <c r="B69" s="14" t="str">
        <f>IF(VLOOKUP($A69,Cost_Estimates!$A$3:$AB$189,2,FALSE)="","",VLOOKUP($A69,Cost_Estimates!$A$3:$AB$189,2,FALSE))</f>
        <v>Te Anau</v>
      </c>
      <c r="C69" s="11" t="str">
        <f>IF(VLOOKUP($A69,Cost_Estimates!$A$3:$AB$189,4,FALSE)="","",VLOOKUP($A69,Cost_Estimates!$A$3:$AB$189,4,FALSE))</f>
        <v>Visitor Hub</v>
      </c>
      <c r="D69" s="14" t="str">
        <f>IF(VLOOKUP($A69,Cost_Estimates!$A$3:$AB$189,5,FALSE)="","",VLOOKUP($A69,Cost_Estimates!$A$3:$AB$189,5,FALSE))</f>
        <v>Structures - Bus Stop - Te Anau Departure</v>
      </c>
      <c r="E69" s="11" t="str">
        <f>IF(VLOOKUP($A69,Cost_Estimates!$A$3:$AB$189,6,FALSE)="","",VLOOKUP($A69,Cost_Estimates!$A$3:$AB$189,6,FALSE))</f>
        <v xml:space="preserve">Shelter / Refuge style of development acting as a departure point for buses. Located adjacent to the Visitor Experience Hub </v>
      </c>
      <c r="F69" s="14" t="str">
        <f>IF(VLOOKUP($A69,Cost_Estimates!$A$3:$AB$189,7,FALSE)="","",VLOOKUP($A69,Cost_Estimates!$A$3:$AB$189,7,FALSE))</f>
        <v>no.</v>
      </c>
      <c r="G69" s="45">
        <f>IF(VLOOKUP($A69,Cost_Estimates!$A$3:$AB$189,9,FALSE)="","",VLOOKUP($A69,Cost_Estimates!$A$3:$AB$189,9,FALSE))</f>
        <v>1</v>
      </c>
      <c r="H69" s="43">
        <f>IF(VLOOKUP($A69,Cost_Estimates!$A$3:$AB$189,20,FALSE)="","",VLOOKUP($A69,Cost_Estimates!$A$3:$AB$189,20,FALSE))</f>
        <v>684000</v>
      </c>
      <c r="I69" s="7">
        <f>IF(VLOOKUP($A69,Cost_Estimates!$A$3:$AB$189,21,FALSE)="","",VLOOKUP($A69,Cost_Estimates!$A$3:$AB$189,21,FALSE))</f>
        <v>0</v>
      </c>
      <c r="J69" s="7">
        <f>IF(VLOOKUP($A69,Cost_Estimates!$A$3:$AB$189,22,FALSE)="","",VLOOKUP($A69,Cost_Estimates!$A$3:$AB$189,22,FALSE))</f>
        <v>2022</v>
      </c>
      <c r="K69" s="7">
        <f>IF(VLOOKUP($A69,Cost_Estimates!$A$3:$AB$189,23,FALSE)="","",VLOOKUP($A69,Cost_Estimates!$A$3:$AB$189,23,FALSE))</f>
        <v>3</v>
      </c>
      <c r="L69" s="7">
        <f>IF(VLOOKUP($A69,Cost_Estimates!$A$3:$AB$189,24,FALSE)="","",VLOOKUP($A69,Cost_Estimates!$A$3:$AB$189,24,FALSE))</f>
        <v>2025</v>
      </c>
      <c r="M69" s="58" t="str">
        <f>IF(VLOOKUP($A69,Cost_Estimates!$A$3:$AB$189,25,FALSE)="","",VLOOKUP($A69,Cost_Estimates!$A$3:$AB$189,25,FALSE))</f>
        <v>Base Option Design Yr 1, Construct Yr 2/3</v>
      </c>
      <c r="N69" s="58" t="str">
        <f>IF(VLOOKUP($A69,Cost_Estimates!$A$3:$AB$189,26,FALSE)="","",VLOOKUP($A69,Cost_Estimates!$A$3:$AB$189,26,FALSE))</f>
        <v/>
      </c>
      <c r="O69" s="14" t="str">
        <f>IF(VLOOKUP($A69,Cost_Estimates!$A$3:$AB$189,27,FALSE)="","",VLOOKUP($A69,Cost_Estimates!$A$3:$AB$189,27,FALSE))</f>
        <v/>
      </c>
      <c r="P69" s="14" t="str">
        <f>IF(VLOOKUP($A69,Cost_Estimates!$A$3:$AB$189,28,FALSE)="","",VLOOKUP($A69,Cost_Estimates!$A$3:$AB$189,28,FALSE))</f>
        <v/>
      </c>
    </row>
    <row r="70" spans="1:16" ht="62.1" customHeight="1" x14ac:dyDescent="0.25">
      <c r="A70" s="14" t="s">
        <v>539</v>
      </c>
      <c r="B70" s="14" t="str">
        <f>IF(VLOOKUP($A70,Cost_Estimates!$A$3:$AB$189,2,FALSE)="","",VLOOKUP($A70,Cost_Estimates!$A$3:$AB$189,2,FALSE))</f>
        <v>Te Anau</v>
      </c>
      <c r="C70" s="11" t="str">
        <f>IF(VLOOKUP($A70,Cost_Estimates!$A$3:$AB$189,4,FALSE)="","",VLOOKUP($A70,Cost_Estimates!$A$3:$AB$189,4,FALSE))</f>
        <v>Visitor Hub</v>
      </c>
      <c r="D70" s="14" t="str">
        <f>IF(VLOOKUP($A70,Cost_Estimates!$A$3:$AB$189,5,FALSE)="","",VLOOKUP($A70,Cost_Estimates!$A$3:$AB$189,5,FALSE))</f>
        <v>Pavements - Visitor Experience Hub - Te Anau</v>
      </c>
      <c r="E70" s="11" t="str">
        <f>IF(VLOOKUP($A70,Cost_Estimates!$A$3:$AB$189,6,FALSE)="","",VLOOKUP($A70,Cost_Estimates!$A$3:$AB$189,6,FALSE))</f>
        <v>Parking provided for drop off and short term carparking and for Bus Transfers. Allowance for the equivalent of 60 vehicle parks</v>
      </c>
      <c r="F70" s="14" t="str">
        <f>IF(VLOOKUP($A70,Cost_Estimates!$A$3:$AB$189,7,FALSE)="","",VLOOKUP($A70,Cost_Estimates!$A$3:$AB$189,7,FALSE))</f>
        <v>no.</v>
      </c>
      <c r="G70" s="45">
        <f>IF(VLOOKUP($A70,Cost_Estimates!$A$3:$AB$189,9,FALSE)="","",VLOOKUP($A70,Cost_Estimates!$A$3:$AB$189,9,FALSE))</f>
        <v>60</v>
      </c>
      <c r="H70" s="43">
        <f>IF(VLOOKUP($A70,Cost_Estimates!$A$3:$AB$189,20,FALSE)="","",VLOOKUP($A70,Cost_Estimates!$A$3:$AB$189,20,FALSE))</f>
        <v>990000</v>
      </c>
      <c r="I70" s="7">
        <f>IF(VLOOKUP($A70,Cost_Estimates!$A$3:$AB$189,21,FALSE)="","",VLOOKUP($A70,Cost_Estimates!$A$3:$AB$189,21,FALSE))</f>
        <v>0</v>
      </c>
      <c r="J70" s="7">
        <f>IF(VLOOKUP($A70,Cost_Estimates!$A$3:$AB$189,22,FALSE)="","",VLOOKUP($A70,Cost_Estimates!$A$3:$AB$189,22,FALSE))</f>
        <v>2022</v>
      </c>
      <c r="K70" s="7">
        <f>IF(VLOOKUP($A70,Cost_Estimates!$A$3:$AB$189,23,FALSE)="","",VLOOKUP($A70,Cost_Estimates!$A$3:$AB$189,23,FALSE))</f>
        <v>3</v>
      </c>
      <c r="L70" s="7">
        <f>IF(VLOOKUP($A70,Cost_Estimates!$A$3:$AB$189,24,FALSE)="","",VLOOKUP($A70,Cost_Estimates!$A$3:$AB$189,24,FALSE))</f>
        <v>2025</v>
      </c>
      <c r="M70" s="58" t="str">
        <f>IF(VLOOKUP($A70,Cost_Estimates!$A$3:$AB$189,25,FALSE)="","",VLOOKUP($A70,Cost_Estimates!$A$3:$AB$189,25,FALSE))</f>
        <v>Base Option Design Yr 1, Construct Yr 2/3</v>
      </c>
      <c r="N70" s="58" t="str">
        <f>IF(VLOOKUP($A70,Cost_Estimates!$A$3:$AB$189,26,FALSE)="","",VLOOKUP($A70,Cost_Estimates!$A$3:$AB$189,26,FALSE))</f>
        <v/>
      </c>
      <c r="O70" s="14" t="str">
        <f>IF(VLOOKUP($A70,Cost_Estimates!$A$3:$AB$189,27,FALSE)="","",VLOOKUP($A70,Cost_Estimates!$A$3:$AB$189,27,FALSE))</f>
        <v/>
      </c>
      <c r="P70" s="14" t="str">
        <f>IF(VLOOKUP($A70,Cost_Estimates!$A$3:$AB$189,28,FALSE)="","",VLOOKUP($A70,Cost_Estimates!$A$3:$AB$189,28,FALSE))</f>
        <v/>
      </c>
    </row>
    <row r="71" spans="1:16" ht="62.1" customHeight="1" x14ac:dyDescent="0.25">
      <c r="A71" s="14" t="s">
        <v>541</v>
      </c>
      <c r="B71" s="14" t="str">
        <f>IF(VLOOKUP($A71,Cost_Estimates!$A$3:$AB$189,2,FALSE)="","",VLOOKUP($A71,Cost_Estimates!$A$3:$AB$189,2,FALSE))</f>
        <v>Te Anau</v>
      </c>
      <c r="C71" s="11" t="str">
        <f>IF(VLOOKUP($A71,Cost_Estimates!$A$3:$AB$189,4,FALSE)="","",VLOOKUP($A71,Cost_Estimates!$A$3:$AB$189,4,FALSE))</f>
        <v>Visitor Hub</v>
      </c>
      <c r="D71" s="14" t="str">
        <f>IF(VLOOKUP($A71,Cost_Estimates!$A$3:$AB$189,5,FALSE)="","",VLOOKUP($A71,Cost_Estimates!$A$3:$AB$189,5,FALSE))</f>
        <v>Services - Wastewater</v>
      </c>
      <c r="E71" s="11" t="str">
        <f>IF(VLOOKUP($A71,Cost_Estimates!$A$3:$AB$189,6,FALSE)="","",VLOOKUP($A71,Cost_Estimates!$A$3:$AB$189,6,FALSE))</f>
        <v>Modification required to the wastewater systems in the vicinity of the Visitor Hub including connection costs to the Council Network</v>
      </c>
      <c r="F71" s="14" t="str">
        <f>IF(VLOOKUP($A71,Cost_Estimates!$A$3:$AB$189,7,FALSE)="","",VLOOKUP($A71,Cost_Estimates!$A$3:$AB$189,7,FALSE))</f>
        <v/>
      </c>
      <c r="G71" s="45" t="str">
        <f>IF(VLOOKUP($A71,Cost_Estimates!$A$3:$AB$189,9,FALSE)="","",VLOOKUP($A71,Cost_Estimates!$A$3:$AB$189,9,FALSE))</f>
        <v/>
      </c>
      <c r="H71" s="43">
        <f>IF(VLOOKUP($A71,Cost_Estimates!$A$3:$AB$189,20,FALSE)="","",VLOOKUP($A71,Cost_Estimates!$A$3:$AB$189,20,FALSE))</f>
        <v>152000</v>
      </c>
      <c r="I71" s="7" t="str">
        <f>IF(VLOOKUP($A71,Cost_Estimates!$A$3:$AB$189,21,FALSE)="","",VLOOKUP($A71,Cost_Estimates!$A$3:$AB$189,21,FALSE))</f>
        <v/>
      </c>
      <c r="J71" s="7" t="str">
        <f>IF(VLOOKUP($A71,Cost_Estimates!$A$3:$AB$189,22,FALSE)="","",VLOOKUP($A71,Cost_Estimates!$A$3:$AB$189,22,FALSE))</f>
        <v/>
      </c>
      <c r="K71" s="7" t="str">
        <f>IF(VLOOKUP($A71,Cost_Estimates!$A$3:$AB$189,23,FALSE)="","",VLOOKUP($A71,Cost_Estimates!$A$3:$AB$189,23,FALSE))</f>
        <v/>
      </c>
      <c r="L71" s="7" t="str">
        <f>IF(VLOOKUP($A71,Cost_Estimates!$A$3:$AB$189,24,FALSE)="","",VLOOKUP($A71,Cost_Estimates!$A$3:$AB$189,24,FALSE))</f>
        <v/>
      </c>
      <c r="M71" s="58" t="str">
        <f>IF(VLOOKUP($A71,Cost_Estimates!$A$3:$AB$189,25,FALSE)="","",VLOOKUP($A71,Cost_Estimates!$A$3:$AB$189,25,FALSE))</f>
        <v/>
      </c>
      <c r="N71" s="58" t="str">
        <f>IF(VLOOKUP($A71,Cost_Estimates!$A$3:$AB$189,26,FALSE)="","",VLOOKUP($A71,Cost_Estimates!$A$3:$AB$189,26,FALSE))</f>
        <v/>
      </c>
      <c r="O71" s="14" t="str">
        <f>IF(VLOOKUP($A71,Cost_Estimates!$A$3:$AB$189,27,FALSE)="","",VLOOKUP($A71,Cost_Estimates!$A$3:$AB$189,27,FALSE))</f>
        <v/>
      </c>
      <c r="P71" s="14" t="str">
        <f>IF(VLOOKUP($A71,Cost_Estimates!$A$3:$AB$189,28,FALSE)="","",VLOOKUP($A71,Cost_Estimates!$A$3:$AB$189,28,FALSE))</f>
        <v/>
      </c>
    </row>
    <row r="72" spans="1:16" ht="62.1" customHeight="1" x14ac:dyDescent="0.25">
      <c r="A72" s="14" t="s">
        <v>543</v>
      </c>
      <c r="B72" s="14" t="str">
        <f>IF(VLOOKUP($A72,Cost_Estimates!$A$3:$AB$189,2,FALSE)="","",VLOOKUP($A72,Cost_Estimates!$A$3:$AB$189,2,FALSE))</f>
        <v>Te Anau</v>
      </c>
      <c r="C72" s="11" t="str">
        <f>IF(VLOOKUP($A72,Cost_Estimates!$A$3:$AB$189,4,FALSE)="","",VLOOKUP($A72,Cost_Estimates!$A$3:$AB$189,4,FALSE))</f>
        <v>Visitor Hub</v>
      </c>
      <c r="D72" s="14" t="str">
        <f>IF(VLOOKUP($A72,Cost_Estimates!$A$3:$AB$189,5,FALSE)="","",VLOOKUP($A72,Cost_Estimates!$A$3:$AB$189,5,FALSE))</f>
        <v>Services - Potable Water</v>
      </c>
      <c r="E72" s="11" t="str">
        <f>IF(VLOOKUP($A72,Cost_Estimates!$A$3:$AB$189,6,FALSE)="","",VLOOKUP($A72,Cost_Estimates!$A$3:$AB$189,6,FALSE))</f>
        <v>Modification required to the potable water systems in the vicinity of the Visitor Hub including connection costs to the Council Network</v>
      </c>
      <c r="F72" s="14" t="str">
        <f>IF(VLOOKUP($A72,Cost_Estimates!$A$3:$AB$189,7,FALSE)="","",VLOOKUP($A72,Cost_Estimates!$A$3:$AB$189,7,FALSE))</f>
        <v/>
      </c>
      <c r="G72" s="45" t="str">
        <f>IF(VLOOKUP($A72,Cost_Estimates!$A$3:$AB$189,9,FALSE)="","",VLOOKUP($A72,Cost_Estimates!$A$3:$AB$189,9,FALSE))</f>
        <v/>
      </c>
      <c r="H72" s="43">
        <f>IF(VLOOKUP($A72,Cost_Estimates!$A$3:$AB$189,20,FALSE)="","",VLOOKUP($A72,Cost_Estimates!$A$3:$AB$189,20,FALSE))</f>
        <v>123000</v>
      </c>
      <c r="I72" s="7" t="str">
        <f>IF(VLOOKUP($A72,Cost_Estimates!$A$3:$AB$189,21,FALSE)="","",VLOOKUP($A72,Cost_Estimates!$A$3:$AB$189,21,FALSE))</f>
        <v/>
      </c>
      <c r="J72" s="7" t="str">
        <f>IF(VLOOKUP($A72,Cost_Estimates!$A$3:$AB$189,22,FALSE)="","",VLOOKUP($A72,Cost_Estimates!$A$3:$AB$189,22,FALSE))</f>
        <v/>
      </c>
      <c r="K72" s="7" t="str">
        <f>IF(VLOOKUP($A72,Cost_Estimates!$A$3:$AB$189,23,FALSE)="","",VLOOKUP($A72,Cost_Estimates!$A$3:$AB$189,23,FALSE))</f>
        <v/>
      </c>
      <c r="L72" s="7" t="str">
        <f>IF(VLOOKUP($A72,Cost_Estimates!$A$3:$AB$189,24,FALSE)="","",VLOOKUP($A72,Cost_Estimates!$A$3:$AB$189,24,FALSE))</f>
        <v/>
      </c>
      <c r="M72" s="58" t="str">
        <f>IF(VLOOKUP($A72,Cost_Estimates!$A$3:$AB$189,25,FALSE)="","",VLOOKUP($A72,Cost_Estimates!$A$3:$AB$189,25,FALSE))</f>
        <v/>
      </c>
      <c r="N72" s="58" t="str">
        <f>IF(VLOOKUP($A72,Cost_Estimates!$A$3:$AB$189,26,FALSE)="","",VLOOKUP($A72,Cost_Estimates!$A$3:$AB$189,26,FALSE))</f>
        <v/>
      </c>
      <c r="O72" s="14" t="str">
        <f>IF(VLOOKUP($A72,Cost_Estimates!$A$3:$AB$189,27,FALSE)="","",VLOOKUP($A72,Cost_Estimates!$A$3:$AB$189,27,FALSE))</f>
        <v/>
      </c>
      <c r="P72" s="14" t="str">
        <f>IF(VLOOKUP($A72,Cost_Estimates!$A$3:$AB$189,28,FALSE)="","",VLOOKUP($A72,Cost_Estimates!$A$3:$AB$189,28,FALSE))</f>
        <v/>
      </c>
    </row>
    <row r="73" spans="1:16" ht="62.1" customHeight="1" x14ac:dyDescent="0.25">
      <c r="A73" s="14" t="s">
        <v>542</v>
      </c>
      <c r="B73" s="14" t="str">
        <f>IF(VLOOKUP($A73,Cost_Estimates!$A$3:$AB$189,2,FALSE)="","",VLOOKUP($A73,Cost_Estimates!$A$3:$AB$189,2,FALSE))</f>
        <v>Te Anau</v>
      </c>
      <c r="C73" s="11" t="str">
        <f>IF(VLOOKUP($A73,Cost_Estimates!$A$3:$AB$189,4,FALSE)="","",VLOOKUP($A73,Cost_Estimates!$A$3:$AB$189,4,FALSE))</f>
        <v>Visitor Hub</v>
      </c>
      <c r="D73" s="14" t="str">
        <f>IF(VLOOKUP($A73,Cost_Estimates!$A$3:$AB$189,5,FALSE)="","",VLOOKUP($A73,Cost_Estimates!$A$3:$AB$189,5,FALSE))</f>
        <v>Structure - Jetty</v>
      </c>
      <c r="E73" s="11" t="str">
        <f>IF(VLOOKUP($A73,Cost_Estimates!$A$3:$AB$189,6,FALSE)="","",VLOOKUP($A73,Cost_Estimates!$A$3:$AB$189,6,FALSE))</f>
        <v>Jetty facility that would align with the Visitor Hub. Developed based on demand at location</v>
      </c>
      <c r="F73" s="14" t="str">
        <f>IF(VLOOKUP($A73,Cost_Estimates!$A$3:$AB$189,7,FALSE)="","",VLOOKUP($A73,Cost_Estimates!$A$3:$AB$189,7,FALSE))</f>
        <v>m</v>
      </c>
      <c r="G73" s="45">
        <f>IF(VLOOKUP($A73,Cost_Estimates!$A$3:$AB$189,9,FALSE)="","",VLOOKUP($A73,Cost_Estimates!$A$3:$AB$189,9,FALSE))</f>
        <v>50</v>
      </c>
      <c r="H73" s="43">
        <f>IF(VLOOKUP($A73,Cost_Estimates!$A$3:$AB$189,20,FALSE)="","",VLOOKUP($A73,Cost_Estimates!$A$3:$AB$189,20,FALSE))</f>
        <v>992000</v>
      </c>
      <c r="I73" s="7" t="str">
        <f>IF(VLOOKUP($A73,Cost_Estimates!$A$3:$AB$189,21,FALSE)="","",VLOOKUP($A73,Cost_Estimates!$A$3:$AB$189,21,FALSE))</f>
        <v/>
      </c>
      <c r="J73" s="7" t="str">
        <f>IF(VLOOKUP($A73,Cost_Estimates!$A$3:$AB$189,22,FALSE)="","",VLOOKUP($A73,Cost_Estimates!$A$3:$AB$189,22,FALSE))</f>
        <v/>
      </c>
      <c r="K73" s="7" t="str">
        <f>IF(VLOOKUP($A73,Cost_Estimates!$A$3:$AB$189,23,FALSE)="","",VLOOKUP($A73,Cost_Estimates!$A$3:$AB$189,23,FALSE))</f>
        <v/>
      </c>
      <c r="L73" s="7" t="str">
        <f>IF(VLOOKUP($A73,Cost_Estimates!$A$3:$AB$189,24,FALSE)="","",VLOOKUP($A73,Cost_Estimates!$A$3:$AB$189,24,FALSE))</f>
        <v/>
      </c>
      <c r="M73" s="58" t="str">
        <f>IF(VLOOKUP($A73,Cost_Estimates!$A$3:$AB$189,25,FALSE)="","",VLOOKUP($A73,Cost_Estimates!$A$3:$AB$189,25,FALSE))</f>
        <v/>
      </c>
      <c r="N73" s="58" t="str">
        <f>IF(VLOOKUP($A73,Cost_Estimates!$A$3:$AB$189,26,FALSE)="","",VLOOKUP($A73,Cost_Estimates!$A$3:$AB$189,26,FALSE))</f>
        <v/>
      </c>
      <c r="O73" s="14" t="str">
        <f>IF(VLOOKUP($A73,Cost_Estimates!$A$3:$AB$189,27,FALSE)="","",VLOOKUP($A73,Cost_Estimates!$A$3:$AB$189,27,FALSE))</f>
        <v/>
      </c>
      <c r="P73" s="14" t="str">
        <f>IF(VLOOKUP($A73,Cost_Estimates!$A$3:$AB$189,28,FALSE)="","",VLOOKUP($A73,Cost_Estimates!$A$3:$AB$189,28,FALSE))</f>
        <v/>
      </c>
    </row>
    <row r="74" spans="1:16" ht="62.1" customHeight="1" x14ac:dyDescent="0.25">
      <c r="A74" s="14" t="s">
        <v>540</v>
      </c>
      <c r="B74" s="14" t="str">
        <f>IF(VLOOKUP($A74,Cost_Estimates!$A$3:$AB$189,2,FALSE)="","",VLOOKUP($A74,Cost_Estimates!$A$3:$AB$189,2,FALSE))</f>
        <v>Te Anau</v>
      </c>
      <c r="C74" s="11" t="str">
        <f>IF(VLOOKUP($A74,Cost_Estimates!$A$3:$AB$189,4,FALSE)="","",VLOOKUP($A74,Cost_Estimates!$A$3:$AB$189,4,FALSE))</f>
        <v>Visitor Hub</v>
      </c>
      <c r="D74" s="14" t="str">
        <f>IF(VLOOKUP($A74,Cost_Estimates!$A$3:$AB$189,5,FALSE)="","",VLOOKUP($A74,Cost_Estimates!$A$3:$AB$189,5,FALSE))</f>
        <v>Carriageway - Visitor Experience Hub - Te Anau</v>
      </c>
      <c r="E74" s="11" t="str">
        <f>IF(VLOOKUP($A74,Cost_Estimates!$A$3:$AB$189,6,FALSE)="","",VLOOKUP($A74,Cost_Estimates!$A$3:$AB$189,6,FALSE))</f>
        <v>Allowance for the realignment of roadways in the vicinity of the visitor hub and intersection upgrades for the movement of buses etc within Te Anau. Scope would require definition based on final selected location</v>
      </c>
      <c r="F74" s="14" t="str">
        <f>IF(VLOOKUP($A74,Cost_Estimates!$A$3:$AB$189,7,FALSE)="","",VLOOKUP($A74,Cost_Estimates!$A$3:$AB$189,7,FALSE))</f>
        <v>m</v>
      </c>
      <c r="G74" s="45">
        <f>IF(VLOOKUP($A74,Cost_Estimates!$A$3:$AB$189,9,FALSE)="","",VLOOKUP($A74,Cost_Estimates!$A$3:$AB$189,9,FALSE))</f>
        <v>1000</v>
      </c>
      <c r="H74" s="43">
        <f>IF(VLOOKUP($A74,Cost_Estimates!$A$3:$AB$189,20,FALSE)="","",VLOOKUP($A74,Cost_Estimates!$A$3:$AB$189,20,FALSE))</f>
        <v>3430000</v>
      </c>
      <c r="I74" s="7">
        <f>IF(VLOOKUP($A74,Cost_Estimates!$A$3:$AB$189,21,FALSE)="","",VLOOKUP($A74,Cost_Estimates!$A$3:$AB$189,21,FALSE))</f>
        <v>0</v>
      </c>
      <c r="J74" s="7">
        <f>IF(VLOOKUP($A74,Cost_Estimates!$A$3:$AB$189,22,FALSE)="","",VLOOKUP($A74,Cost_Estimates!$A$3:$AB$189,22,FALSE))</f>
        <v>2022</v>
      </c>
      <c r="K74" s="7">
        <f>IF(VLOOKUP($A74,Cost_Estimates!$A$3:$AB$189,23,FALSE)="","",VLOOKUP($A74,Cost_Estimates!$A$3:$AB$189,23,FALSE))</f>
        <v>3</v>
      </c>
      <c r="L74" s="7">
        <f>IF(VLOOKUP($A74,Cost_Estimates!$A$3:$AB$189,24,FALSE)="","",VLOOKUP($A74,Cost_Estimates!$A$3:$AB$189,24,FALSE))</f>
        <v>2025</v>
      </c>
      <c r="M74" s="58" t="str">
        <f>IF(VLOOKUP($A74,Cost_Estimates!$A$3:$AB$189,25,FALSE)="","",VLOOKUP($A74,Cost_Estimates!$A$3:$AB$189,25,FALSE))</f>
        <v>Base Option Design Yr 1, Construct Yr 2/3</v>
      </c>
      <c r="N74" s="58" t="str">
        <f>IF(VLOOKUP($A74,Cost_Estimates!$A$3:$AB$189,26,FALSE)="","",VLOOKUP($A74,Cost_Estimates!$A$3:$AB$189,26,FALSE))</f>
        <v/>
      </c>
      <c r="O74" s="14" t="str">
        <f>IF(VLOOKUP($A74,Cost_Estimates!$A$3:$AB$189,27,FALSE)="","",VLOOKUP($A74,Cost_Estimates!$A$3:$AB$189,27,FALSE))</f>
        <v/>
      </c>
      <c r="P74" s="14" t="str">
        <f>IF(VLOOKUP($A74,Cost_Estimates!$A$3:$AB$189,28,FALSE)="","",VLOOKUP($A74,Cost_Estimates!$A$3:$AB$189,28,FALSE))</f>
        <v/>
      </c>
    </row>
    <row r="75" spans="1:16" ht="62.1" customHeight="1" x14ac:dyDescent="0.25">
      <c r="A75" s="14" t="s">
        <v>544</v>
      </c>
      <c r="B75" s="14" t="str">
        <f>IF(VLOOKUP($A75,Cost_Estimates!$A$3:$AB$189,2,FALSE)="","",VLOOKUP($A75,Cost_Estimates!$A$3:$AB$189,2,FALSE))</f>
        <v>Te Anau</v>
      </c>
      <c r="C75" s="11" t="str">
        <f>IF(VLOOKUP($A75,Cost_Estimates!$A$3:$AB$189,4,FALSE)="","",VLOOKUP($A75,Cost_Estimates!$A$3:$AB$189,4,FALSE))</f>
        <v>Visitor Hub</v>
      </c>
      <c r="D75" s="14" t="str">
        <f>IF(VLOOKUP($A75,Cost_Estimates!$A$3:$AB$189,5,FALSE)="","",VLOOKUP($A75,Cost_Estimates!$A$3:$AB$189,5,FALSE))</f>
        <v>Te Anau Interpretation</v>
      </c>
      <c r="E75" s="11" t="str">
        <f>IF(VLOOKUP($A75,Cost_Estimates!$A$3:$AB$189,6,FALSE)="","",VLOOKUP($A75,Cost_Estimates!$A$3:$AB$189,6,FALSE))</f>
        <v>Budget allowance for the establishment of interpretive materials throughout Te Anau (Signage, Displays, Services, incl. within the hub)</v>
      </c>
      <c r="F75" s="14" t="str">
        <f>IF(VLOOKUP($A75,Cost_Estimates!$A$3:$AB$189,7,FALSE)="","",VLOOKUP($A75,Cost_Estimates!$A$3:$AB$189,7,FALSE))</f>
        <v>no.</v>
      </c>
      <c r="G75" s="45">
        <f>IF(VLOOKUP($A75,Cost_Estimates!$A$3:$AB$189,9,FALSE)="","",VLOOKUP($A75,Cost_Estimates!$A$3:$AB$189,9,FALSE))</f>
        <v>1</v>
      </c>
      <c r="H75" s="43">
        <f>IF(VLOOKUP($A75,Cost_Estimates!$A$3:$AB$189,20,FALSE)="","",VLOOKUP($A75,Cost_Estimates!$A$3:$AB$189,20,FALSE))</f>
        <v>1000000</v>
      </c>
      <c r="I75" s="7" t="str">
        <f>IF(VLOOKUP($A75,Cost_Estimates!$A$3:$AB$189,21,FALSE)="","",VLOOKUP($A75,Cost_Estimates!$A$3:$AB$189,21,FALSE))</f>
        <v/>
      </c>
      <c r="J75" s="7" t="str">
        <f>IF(VLOOKUP($A75,Cost_Estimates!$A$3:$AB$189,22,FALSE)="","",VLOOKUP($A75,Cost_Estimates!$A$3:$AB$189,22,FALSE))</f>
        <v/>
      </c>
      <c r="K75" s="7" t="str">
        <f>IF(VLOOKUP($A75,Cost_Estimates!$A$3:$AB$189,23,FALSE)="","",VLOOKUP($A75,Cost_Estimates!$A$3:$AB$189,23,FALSE))</f>
        <v/>
      </c>
      <c r="L75" s="7" t="str">
        <f>IF(VLOOKUP($A75,Cost_Estimates!$A$3:$AB$189,24,FALSE)="","",VLOOKUP($A75,Cost_Estimates!$A$3:$AB$189,24,FALSE))</f>
        <v/>
      </c>
      <c r="M75" s="58" t="str">
        <f>IF(VLOOKUP($A75,Cost_Estimates!$A$3:$AB$189,25,FALSE)="","",VLOOKUP($A75,Cost_Estimates!$A$3:$AB$189,25,FALSE))</f>
        <v/>
      </c>
      <c r="N75" s="58" t="str">
        <f>IF(VLOOKUP($A75,Cost_Estimates!$A$3:$AB$189,26,FALSE)="","",VLOOKUP($A75,Cost_Estimates!$A$3:$AB$189,26,FALSE))</f>
        <v/>
      </c>
      <c r="O75" s="14" t="str">
        <f>IF(VLOOKUP($A75,Cost_Estimates!$A$3:$AB$189,27,FALSE)="","",VLOOKUP($A75,Cost_Estimates!$A$3:$AB$189,27,FALSE))</f>
        <v/>
      </c>
      <c r="P75" s="14" t="str">
        <f>IF(VLOOKUP($A75,Cost_Estimates!$A$3:$AB$189,28,FALSE)="","",VLOOKUP($A75,Cost_Estimates!$A$3:$AB$189,28,FALSE))</f>
        <v/>
      </c>
    </row>
    <row r="76" spans="1:16" ht="62.1" customHeight="1" x14ac:dyDescent="0.25">
      <c r="A76" s="14" t="s">
        <v>547</v>
      </c>
      <c r="B76" s="14" t="str">
        <f>IF(VLOOKUP($A76,Cost_Estimates!$A$3:$AB$189,2,FALSE)="","",VLOOKUP($A76,Cost_Estimates!$A$3:$AB$189,2,FALSE))</f>
        <v>Te Anau</v>
      </c>
      <c r="C76" s="11" t="str">
        <f>IF(VLOOKUP($A76,Cost_Estimates!$A$3:$AB$189,4,FALSE)="","",VLOOKUP($A76,Cost_Estimates!$A$3:$AB$189,4,FALSE))</f>
        <v>Transport Terminal</v>
      </c>
      <c r="D76" s="14" t="str">
        <f>IF(VLOOKUP($A76,Cost_Estimates!$A$3:$AB$189,5,FALSE)="","",VLOOKUP($A76,Cost_Estimates!$A$3:$AB$189,5,FALSE))</f>
        <v>Buses - Base of Operations</v>
      </c>
      <c r="E76" s="11" t="str">
        <f>IF(VLOOKUP($A76,Cost_Estimates!$A$3:$AB$189,6,FALSE)="","",VLOOKUP($A76,Cost_Estimates!$A$3:$AB$189,6,FALSE))</f>
        <v>Area for the operation and maintenance of buses to take visitors from Te Anau to Piopiotahi. Includes facilities for Bus driver resting, bus mainteance, charging and overnight housing</v>
      </c>
      <c r="F76" s="14" t="str">
        <f>IF(VLOOKUP($A76,Cost_Estimates!$A$3:$AB$189,7,FALSE)="","",VLOOKUP($A76,Cost_Estimates!$A$3:$AB$189,7,FALSE))</f>
        <v/>
      </c>
      <c r="G76" s="45" t="str">
        <f>IF(VLOOKUP($A76,Cost_Estimates!$A$3:$AB$189,9,FALSE)="","",VLOOKUP($A76,Cost_Estimates!$A$3:$AB$189,9,FALSE))</f>
        <v/>
      </c>
      <c r="H76" s="43">
        <f>IF(VLOOKUP($A76,Cost_Estimates!$A$3:$AB$189,20,FALSE)="","",VLOOKUP($A76,Cost_Estimates!$A$3:$AB$189,20,FALSE))</f>
        <v>16804000</v>
      </c>
      <c r="I76" s="7" t="str">
        <f>IF(VLOOKUP($A76,Cost_Estimates!$A$3:$AB$189,21,FALSE)="","",VLOOKUP($A76,Cost_Estimates!$A$3:$AB$189,21,FALSE))</f>
        <v/>
      </c>
      <c r="J76" s="7" t="str">
        <f>IF(VLOOKUP($A76,Cost_Estimates!$A$3:$AB$189,22,FALSE)="","",VLOOKUP($A76,Cost_Estimates!$A$3:$AB$189,22,FALSE))</f>
        <v/>
      </c>
      <c r="K76" s="7" t="str">
        <f>IF(VLOOKUP($A76,Cost_Estimates!$A$3:$AB$189,23,FALSE)="","",VLOOKUP($A76,Cost_Estimates!$A$3:$AB$189,23,FALSE))</f>
        <v/>
      </c>
      <c r="L76" s="7" t="str">
        <f>IF(VLOOKUP($A76,Cost_Estimates!$A$3:$AB$189,24,FALSE)="","",VLOOKUP($A76,Cost_Estimates!$A$3:$AB$189,24,FALSE))</f>
        <v/>
      </c>
      <c r="M76" s="58" t="str">
        <f>IF(VLOOKUP($A76,Cost_Estimates!$A$3:$AB$189,25,FALSE)="","",VLOOKUP($A76,Cost_Estimates!$A$3:$AB$189,25,FALSE))</f>
        <v/>
      </c>
      <c r="N76" s="58" t="str">
        <f>IF(VLOOKUP($A76,Cost_Estimates!$A$3:$AB$189,26,FALSE)="","",VLOOKUP($A76,Cost_Estimates!$A$3:$AB$189,26,FALSE))</f>
        <v/>
      </c>
      <c r="O76" s="14" t="str">
        <f>IF(VLOOKUP($A76,Cost_Estimates!$A$3:$AB$189,27,FALSE)="","",VLOOKUP($A76,Cost_Estimates!$A$3:$AB$189,27,FALSE))</f>
        <v/>
      </c>
      <c r="P76" s="14" t="str">
        <f>IF(VLOOKUP($A76,Cost_Estimates!$A$3:$AB$189,28,FALSE)="","",VLOOKUP($A76,Cost_Estimates!$A$3:$AB$189,28,FALSE))</f>
        <v/>
      </c>
    </row>
    <row r="77" spans="1:16" ht="62.1" customHeight="1" x14ac:dyDescent="0.25">
      <c r="A77" s="14" t="s">
        <v>548</v>
      </c>
      <c r="B77" s="14" t="str">
        <f>IF(VLOOKUP($A77,Cost_Estimates!$A$3:$AB$189,2,FALSE)="","",VLOOKUP($A77,Cost_Estimates!$A$3:$AB$189,2,FALSE))</f>
        <v>Te Anau</v>
      </c>
      <c r="C77" s="11" t="str">
        <f>IF(VLOOKUP($A77,Cost_Estimates!$A$3:$AB$189,4,FALSE)="","",VLOOKUP($A77,Cost_Estimates!$A$3:$AB$189,4,FALSE))</f>
        <v>Transport Terminal</v>
      </c>
      <c r="D77" s="14" t="str">
        <f>IF(VLOOKUP($A77,Cost_Estimates!$A$3:$AB$189,5,FALSE)="","",VLOOKUP($A77,Cost_Estimates!$A$3:$AB$189,5,FALSE))</f>
        <v>Pavements - Park and Ride - Te Anau</v>
      </c>
      <c r="E77" s="11" t="str">
        <f>IF(VLOOKUP($A77,Cost_Estimates!$A$3:$AB$189,6,FALSE)="","",VLOOKUP($A77,Cost_Estimates!$A$3:$AB$189,6,FALSE))</f>
        <v>Car Parking (Spaces) for Park and Ride. To be established adjacent to the Base of Operations for buses to make use of shared facilities, and to optimise the use of the pavement areas (peak season the bus storage area can be used for overflow parking)</v>
      </c>
      <c r="F77" s="14" t="str">
        <f>IF(VLOOKUP($A77,Cost_Estimates!$A$3:$AB$189,7,FALSE)="","",VLOOKUP($A77,Cost_Estimates!$A$3:$AB$189,7,FALSE))</f>
        <v>no.</v>
      </c>
      <c r="G77" s="45">
        <f>IF(VLOOKUP($A77,Cost_Estimates!$A$3:$AB$189,9,FALSE)="","",VLOOKUP($A77,Cost_Estimates!$A$3:$AB$189,9,FALSE))</f>
        <v>1000</v>
      </c>
      <c r="H77" s="43">
        <f>IF(VLOOKUP($A77,Cost_Estimates!$A$3:$AB$189,20,FALSE)="","",VLOOKUP($A77,Cost_Estimates!$A$3:$AB$189,20,FALSE))</f>
        <v>16849000</v>
      </c>
      <c r="I77" s="7">
        <f>IF(VLOOKUP($A77,Cost_Estimates!$A$3:$AB$189,21,FALSE)="","",VLOOKUP($A77,Cost_Estimates!$A$3:$AB$189,21,FALSE))</f>
        <v>0</v>
      </c>
      <c r="J77" s="7">
        <f>IF(VLOOKUP($A77,Cost_Estimates!$A$3:$AB$189,22,FALSE)="","",VLOOKUP($A77,Cost_Estimates!$A$3:$AB$189,22,FALSE))</f>
        <v>2022</v>
      </c>
      <c r="K77" s="7">
        <f>IF(VLOOKUP($A77,Cost_Estimates!$A$3:$AB$189,23,FALSE)="","",VLOOKUP($A77,Cost_Estimates!$A$3:$AB$189,23,FALSE))</f>
        <v>3</v>
      </c>
      <c r="L77" s="7">
        <f>IF(VLOOKUP($A77,Cost_Estimates!$A$3:$AB$189,24,FALSE)="","",VLOOKUP($A77,Cost_Estimates!$A$3:$AB$189,24,FALSE))</f>
        <v>2025</v>
      </c>
      <c r="M77" s="58" t="str">
        <f>IF(VLOOKUP($A77,Cost_Estimates!$A$3:$AB$189,25,FALSE)="","",VLOOKUP($A77,Cost_Estimates!$A$3:$AB$189,25,FALSE))</f>
        <v>Base Option Design Yr 1, Construct Yr 2/3</v>
      </c>
      <c r="N77" s="58" t="str">
        <f>IF(VLOOKUP($A77,Cost_Estimates!$A$3:$AB$189,26,FALSE)="","",VLOOKUP($A77,Cost_Estimates!$A$3:$AB$189,26,FALSE))</f>
        <v/>
      </c>
      <c r="O77" s="14" t="str">
        <f>IF(VLOOKUP($A77,Cost_Estimates!$A$3:$AB$189,27,FALSE)="","",VLOOKUP($A77,Cost_Estimates!$A$3:$AB$189,27,FALSE))</f>
        <v/>
      </c>
      <c r="P77" s="14" t="str">
        <f>IF(VLOOKUP($A77,Cost_Estimates!$A$3:$AB$189,28,FALSE)="","",VLOOKUP($A77,Cost_Estimates!$A$3:$AB$189,28,FALSE))</f>
        <v/>
      </c>
    </row>
    <row r="78" spans="1:16" ht="62.1" customHeight="1" x14ac:dyDescent="0.25">
      <c r="A78" s="14" t="s">
        <v>549</v>
      </c>
      <c r="B78" s="14" t="str">
        <f>IF(VLOOKUP($A78,Cost_Estimates!$A$3:$AB$189,2,FALSE)="","",VLOOKUP($A78,Cost_Estimates!$A$3:$AB$189,2,FALSE))</f>
        <v>Te Anau</v>
      </c>
      <c r="C78" s="11" t="str">
        <f>IF(VLOOKUP($A78,Cost_Estimates!$A$3:$AB$189,4,FALSE)="","",VLOOKUP($A78,Cost_Estimates!$A$3:$AB$189,4,FALSE))</f>
        <v>Access Systems</v>
      </c>
      <c r="D78" s="14" t="str">
        <f>IF(VLOOKUP($A78,Cost_Estimates!$A$3:$AB$189,5,FALSE)="","",VLOOKUP($A78,Cost_Estimates!$A$3:$AB$189,5,FALSE))</f>
        <v>Buses - Capital Investment</v>
      </c>
      <c r="E78" s="11" t="str">
        <f>IF(VLOOKUP($A78,Cost_Estimates!$A$3:$AB$189,6,FALSE)="","",VLOOKUP($A78,Cost_Estimates!$A$3:$AB$189,6,FALSE))</f>
        <v>Selected bus infrastructure for the conveyance of visitors to and from Piopiotahi</v>
      </c>
      <c r="F78" s="14" t="str">
        <f>IF(VLOOKUP($A78,Cost_Estimates!$A$3:$AB$189,7,FALSE)="","",VLOOKUP($A78,Cost_Estimates!$A$3:$AB$189,7,FALSE))</f>
        <v>no.</v>
      </c>
      <c r="G78" s="45">
        <f>IF(VLOOKUP($A78,Cost_Estimates!$A$3:$AB$189,9,FALSE)="","",VLOOKUP($A78,Cost_Estimates!$A$3:$AB$189,9,FALSE))</f>
        <v>156</v>
      </c>
      <c r="H78" s="43">
        <f>IF(VLOOKUP($A78,Cost_Estimates!$A$3:$AB$189,20,FALSE)="","",VLOOKUP($A78,Cost_Estimates!$A$3:$AB$189,20,FALSE))</f>
        <v>141804000</v>
      </c>
      <c r="I78" s="7" t="str">
        <f>IF(VLOOKUP($A78,Cost_Estimates!$A$3:$AB$189,21,FALSE)="","",VLOOKUP($A78,Cost_Estimates!$A$3:$AB$189,21,FALSE))</f>
        <v/>
      </c>
      <c r="J78" s="7" t="str">
        <f>IF(VLOOKUP($A78,Cost_Estimates!$A$3:$AB$189,22,FALSE)="","",VLOOKUP($A78,Cost_Estimates!$A$3:$AB$189,22,FALSE))</f>
        <v/>
      </c>
      <c r="K78" s="7" t="str">
        <f>IF(VLOOKUP($A78,Cost_Estimates!$A$3:$AB$189,23,FALSE)="","",VLOOKUP($A78,Cost_Estimates!$A$3:$AB$189,23,FALSE))</f>
        <v/>
      </c>
      <c r="L78" s="7" t="str">
        <f>IF(VLOOKUP($A78,Cost_Estimates!$A$3:$AB$189,24,FALSE)="","",VLOOKUP($A78,Cost_Estimates!$A$3:$AB$189,24,FALSE))</f>
        <v/>
      </c>
      <c r="M78" s="58" t="str">
        <f>IF(VLOOKUP($A78,Cost_Estimates!$A$3:$AB$189,25,FALSE)="","",VLOOKUP($A78,Cost_Estimates!$A$3:$AB$189,25,FALSE))</f>
        <v/>
      </c>
      <c r="N78" s="58" t="str">
        <f>IF(VLOOKUP($A78,Cost_Estimates!$A$3:$AB$189,26,FALSE)="","",VLOOKUP($A78,Cost_Estimates!$A$3:$AB$189,26,FALSE))</f>
        <v/>
      </c>
      <c r="O78" s="14" t="str">
        <f>IF(VLOOKUP($A78,Cost_Estimates!$A$3:$AB$189,27,FALSE)="","",VLOOKUP($A78,Cost_Estimates!$A$3:$AB$189,27,FALSE))</f>
        <v/>
      </c>
      <c r="P78" s="14" t="str">
        <f>IF(VLOOKUP($A78,Cost_Estimates!$A$3:$AB$189,28,FALSE)="","",VLOOKUP($A78,Cost_Estimates!$A$3:$AB$189,28,FALSE))</f>
        <v/>
      </c>
    </row>
  </sheetData>
  <sheetProtection algorithmName="SHA-512" hashValue="xEbMpBFzJknhHVqBcSdKvoRwv9KuxGgVqfGmLm9Ey9dOxklac2Ql6N8dM6O3vCM50rz0V7xoJwB0Tn8L/Dx4Sw==" saltValue="WWLWvw5HezqGIbBkWxH5vw==" spinCount="100000" sheet="1" objects="1" scenarios="1"/>
  <autoFilter ref="A2:P2" xr:uid="{FC0018B0-3DB0-41F0-AFEF-5A8D4697F011}"/>
  <phoneticPr fontId="4" type="noConversion"/>
  <pageMargins left="0.23622047244094491" right="0.23622047244094491" top="0.74803149606299213" bottom="0.74803149606299213" header="0.31496062992125984" footer="0.31496062992125984"/>
  <pageSetup paperSize="8" scale="3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AB0A-13E0-4761-A8FB-E1F4364DF164}">
  <sheetPr>
    <pageSetUpPr fitToPage="1"/>
  </sheetPr>
  <dimension ref="A1:AB129"/>
  <sheetViews>
    <sheetView zoomScale="80" zoomScaleNormal="80" workbookViewId="0">
      <pane xSplit="5" ySplit="2" topLeftCell="F3" activePane="bottomRight" state="frozen"/>
      <selection pane="topRight" activeCell="D1" sqref="D1"/>
      <selection pane="bottomLeft" activeCell="A3" sqref="A3"/>
      <selection pane="bottomRight" activeCell="I3" sqref="I3"/>
    </sheetView>
  </sheetViews>
  <sheetFormatPr defaultRowHeight="15" x14ac:dyDescent="0.25"/>
  <cols>
    <col min="1" max="1" width="7.85546875" style="3" customWidth="1"/>
    <col min="2" max="3" width="19.42578125" style="3" customWidth="1"/>
    <col min="4" max="4" width="28.28515625" style="3" customWidth="1"/>
    <col min="5" max="5" width="50.42578125" style="3" customWidth="1"/>
    <col min="6" max="6" width="54.5703125" style="77" customWidth="1"/>
    <col min="7" max="7" width="7.42578125" style="3" customWidth="1"/>
    <col min="8" max="8" width="18" style="3" customWidth="1"/>
    <col min="9" max="9" width="15.42578125" style="3" customWidth="1"/>
    <col min="10" max="10" width="21.5703125" style="2" customWidth="1"/>
    <col min="11" max="12" width="19.5703125" style="3" customWidth="1"/>
    <col min="13" max="13" width="13.5703125" style="3" customWidth="1"/>
    <col min="14" max="14" width="17.42578125" style="3" customWidth="1"/>
    <col min="15" max="17" width="14" style="3" customWidth="1"/>
    <col min="18" max="18" width="16.5703125" style="3" customWidth="1"/>
    <col min="19" max="19" width="17" style="3" customWidth="1"/>
    <col min="20" max="22" width="18.5703125" style="3" customWidth="1"/>
    <col min="23" max="23" width="20.42578125" style="3" customWidth="1"/>
    <col min="24" max="24" width="18.5703125" style="3" customWidth="1"/>
    <col min="25" max="25" width="41.42578125" style="59" customWidth="1"/>
    <col min="26" max="26" width="34.85546875" style="59" customWidth="1"/>
    <col min="27" max="27" width="18.5703125" style="3" customWidth="1"/>
    <col min="28" max="28" width="52.5703125" style="3" customWidth="1"/>
  </cols>
  <sheetData>
    <row r="1" spans="1:28" x14ac:dyDescent="0.25">
      <c r="A1" s="44"/>
      <c r="B1" s="44"/>
      <c r="C1" s="44"/>
      <c r="D1" s="44"/>
      <c r="E1" s="44"/>
      <c r="F1" s="76"/>
      <c r="G1" s="44"/>
      <c r="H1" s="44"/>
      <c r="I1" s="44"/>
      <c r="J1" s="38"/>
      <c r="K1" s="5">
        <v>0.2</v>
      </c>
      <c r="L1" s="5">
        <v>0.15</v>
      </c>
      <c r="M1" s="41"/>
      <c r="N1" s="41"/>
      <c r="O1" s="6">
        <v>0.06</v>
      </c>
      <c r="P1" s="6">
        <v>0.02</v>
      </c>
      <c r="Q1" s="6">
        <v>0.06</v>
      </c>
      <c r="R1" s="42"/>
      <c r="S1" s="5">
        <v>0.2</v>
      </c>
      <c r="T1" s="14"/>
      <c r="U1" s="14" t="s">
        <v>82</v>
      </c>
      <c r="V1" s="31">
        <v>2022</v>
      </c>
      <c r="W1" s="14"/>
      <c r="X1" s="14"/>
      <c r="Y1" s="58"/>
      <c r="Z1" s="58"/>
      <c r="AA1" s="14"/>
      <c r="AB1" s="14"/>
    </row>
    <row r="2" spans="1:28" ht="44.25" customHeight="1" x14ac:dyDescent="0.25">
      <c r="A2" s="37" t="s">
        <v>338</v>
      </c>
      <c r="B2" s="37" t="s">
        <v>83</v>
      </c>
      <c r="C2" s="37" t="s">
        <v>84</v>
      </c>
      <c r="D2" s="37" t="s">
        <v>351</v>
      </c>
      <c r="E2" s="37" t="s">
        <v>17</v>
      </c>
      <c r="F2" s="37" t="s">
        <v>85</v>
      </c>
      <c r="G2" s="37" t="s">
        <v>86</v>
      </c>
      <c r="H2" s="37" t="s">
        <v>87</v>
      </c>
      <c r="I2" s="37" t="s">
        <v>88</v>
      </c>
      <c r="J2" s="26" t="s">
        <v>89</v>
      </c>
      <c r="K2" s="26" t="s">
        <v>90</v>
      </c>
      <c r="L2" s="26" t="s">
        <v>91</v>
      </c>
      <c r="M2" s="26" t="s">
        <v>92</v>
      </c>
      <c r="N2" s="26" t="s">
        <v>93</v>
      </c>
      <c r="O2" s="26" t="s">
        <v>94</v>
      </c>
      <c r="P2" s="26" t="s">
        <v>95</v>
      </c>
      <c r="Q2" s="26" t="s">
        <v>96</v>
      </c>
      <c r="R2" s="8" t="s">
        <v>97</v>
      </c>
      <c r="S2" s="37" t="s">
        <v>98</v>
      </c>
      <c r="T2" s="37" t="s">
        <v>99</v>
      </c>
      <c r="U2" s="37" t="s">
        <v>100</v>
      </c>
      <c r="V2" s="37" t="s">
        <v>100</v>
      </c>
      <c r="W2" s="37" t="s">
        <v>101</v>
      </c>
      <c r="X2" s="37" t="s">
        <v>102</v>
      </c>
      <c r="Y2" s="37" t="s">
        <v>103</v>
      </c>
      <c r="Z2" s="37" t="s">
        <v>104</v>
      </c>
      <c r="AA2" s="37" t="s">
        <v>105</v>
      </c>
      <c r="AB2" s="37" t="s">
        <v>106</v>
      </c>
    </row>
    <row r="3" spans="1:28" ht="45" x14ac:dyDescent="0.25">
      <c r="A3" s="14" t="s">
        <v>377</v>
      </c>
      <c r="B3" s="14" t="s">
        <v>107</v>
      </c>
      <c r="C3" s="14" t="s">
        <v>108</v>
      </c>
      <c r="D3" s="78" t="s">
        <v>354</v>
      </c>
      <c r="E3" s="14" t="s">
        <v>24</v>
      </c>
      <c r="F3" s="11" t="s">
        <v>352</v>
      </c>
      <c r="G3" s="14" t="s">
        <v>110</v>
      </c>
      <c r="H3" s="35">
        <f>SUM(H4:H5)</f>
        <v>6380</v>
      </c>
      <c r="I3" s="45">
        <f>I4</f>
        <v>1540</v>
      </c>
      <c r="J3" s="39"/>
      <c r="K3" s="43"/>
      <c r="L3" s="43"/>
      <c r="M3" s="6"/>
      <c r="N3" s="43"/>
      <c r="O3" s="5"/>
      <c r="P3" s="5"/>
      <c r="Q3" s="5"/>
      <c r="R3" s="43"/>
      <c r="S3" s="43"/>
      <c r="T3" s="43">
        <f>T4+MS_Hotel_ExO</f>
        <v>21120000</v>
      </c>
      <c r="U3" s="7"/>
      <c r="V3" s="7"/>
      <c r="W3" s="7"/>
      <c r="X3" s="7"/>
      <c r="Y3" s="58"/>
      <c r="Z3" s="58"/>
      <c r="AA3" s="14"/>
      <c r="AB3" s="14"/>
    </row>
    <row r="4" spans="1:28" ht="17.25" x14ac:dyDescent="0.25">
      <c r="A4" s="56"/>
      <c r="B4" s="56" t="s">
        <v>107</v>
      </c>
      <c r="C4" s="56" t="s">
        <v>108</v>
      </c>
      <c r="D4" s="56" t="s">
        <v>354</v>
      </c>
      <c r="E4" s="56" t="s">
        <v>111</v>
      </c>
      <c r="F4" s="57" t="s">
        <v>109</v>
      </c>
      <c r="G4" s="14" t="s">
        <v>110</v>
      </c>
      <c r="H4" s="35">
        <f>Hotel3Star</f>
        <v>5800</v>
      </c>
      <c r="I4" s="45">
        <v>1540</v>
      </c>
      <c r="J4" s="39">
        <f t="shared" ref="J4:J128" si="0">$I4*$H4</f>
        <v>8932000</v>
      </c>
      <c r="K4" s="43">
        <f t="shared" ref="K4:K128" si="1">$J4*K$1</f>
        <v>1786400</v>
      </c>
      <c r="L4" s="43">
        <f t="shared" ref="L4:L128" si="2">SUM($J4:$K4)*L$1</f>
        <v>1607760</v>
      </c>
      <c r="M4" s="6">
        <f>IF($B4="piopiotahi",0.1,IF($B4="Corridor",0.075,IF($B4="Te Anau",0.05,"")))</f>
        <v>0.1</v>
      </c>
      <c r="N4" s="43">
        <f t="shared" ref="N4:N9" si="3">SUM($J4:$L4)*$M4</f>
        <v>1232616</v>
      </c>
      <c r="O4" s="5">
        <v>0.1</v>
      </c>
      <c r="P4" s="5">
        <f t="shared" ref="P4:Q85" si="4">P$1</f>
        <v>0.02</v>
      </c>
      <c r="Q4" s="5">
        <f t="shared" si="4"/>
        <v>0.06</v>
      </c>
      <c r="R4" s="43">
        <f t="shared" ref="R4:R9" si="5">SUM($O4:$Q4)*SUM($J4:$L4,N4)</f>
        <v>2440579.6799999997</v>
      </c>
      <c r="S4" s="43">
        <f t="shared" ref="S4:S9" si="6">SUM(R4,$J4:$L4,$N4)*S$1</f>
        <v>3199871.1359999999</v>
      </c>
      <c r="T4" s="43">
        <f t="shared" ref="T4:T9" si="7">ROUNDUP(SUM($R4:$S4,$J4:$L4,$N4),-3)</f>
        <v>19200000</v>
      </c>
      <c r="U4" s="7">
        <v>0</v>
      </c>
      <c r="V4" s="7">
        <f t="shared" ref="V4:V9" si="8">$V$1+U4</f>
        <v>2022</v>
      </c>
      <c r="W4" s="7">
        <v>3</v>
      </c>
      <c r="X4" s="7">
        <f>W4+V4</f>
        <v>2025</v>
      </c>
      <c r="Y4" s="58" t="s">
        <v>112</v>
      </c>
      <c r="Z4" s="58"/>
      <c r="AA4" s="14"/>
      <c r="AB4" s="14"/>
    </row>
    <row r="5" spans="1:28" ht="30" x14ac:dyDescent="0.25">
      <c r="A5" s="56"/>
      <c r="B5" s="56" t="s">
        <v>107</v>
      </c>
      <c r="C5" s="56" t="s">
        <v>108</v>
      </c>
      <c r="D5" s="56" t="s">
        <v>354</v>
      </c>
      <c r="E5" s="57" t="s">
        <v>113</v>
      </c>
      <c r="F5" s="57" t="s">
        <v>114</v>
      </c>
      <c r="G5" s="14" t="s">
        <v>110</v>
      </c>
      <c r="H5" s="35">
        <f>H4*0.1</f>
        <v>580</v>
      </c>
      <c r="I5" s="45">
        <v>1540</v>
      </c>
      <c r="J5" s="39">
        <f t="shared" si="0"/>
        <v>893200</v>
      </c>
      <c r="K5" s="43">
        <f>$J5*K$1</f>
        <v>178640</v>
      </c>
      <c r="L5" s="43">
        <f>SUM($J5:$K5)*L$1</f>
        <v>160776</v>
      </c>
      <c r="M5" s="6">
        <f t="shared" ref="M5:M105" si="9">IF($B5="piopiotahi",0.1,IF($B5="Corridor",0.075,IF($B5="Te Anau",0.05,"")))</f>
        <v>0.1</v>
      </c>
      <c r="N5" s="43">
        <f t="shared" si="3"/>
        <v>123261.6</v>
      </c>
      <c r="O5" s="5">
        <v>0.1</v>
      </c>
      <c r="P5" s="5">
        <f t="shared" si="4"/>
        <v>0.02</v>
      </c>
      <c r="Q5" s="5">
        <f t="shared" si="4"/>
        <v>0.06</v>
      </c>
      <c r="R5" s="43">
        <f t="shared" si="5"/>
        <v>244057.96799999999</v>
      </c>
      <c r="S5" s="43">
        <f t="shared" si="6"/>
        <v>319987.11360000004</v>
      </c>
      <c r="T5" s="43">
        <f t="shared" si="7"/>
        <v>1920000</v>
      </c>
      <c r="U5" s="7">
        <v>0</v>
      </c>
      <c r="V5" s="7">
        <f t="shared" si="8"/>
        <v>2022</v>
      </c>
      <c r="W5" s="7">
        <v>3</v>
      </c>
      <c r="X5" s="7">
        <f>W5+V5</f>
        <v>2025</v>
      </c>
      <c r="Y5" s="58" t="s">
        <v>112</v>
      </c>
      <c r="Z5" s="58"/>
      <c r="AA5" s="14"/>
      <c r="AB5" s="14"/>
    </row>
    <row r="6" spans="1:28" ht="45" x14ac:dyDescent="0.25">
      <c r="A6" s="14" t="s">
        <v>378</v>
      </c>
      <c r="B6" s="14" t="s">
        <v>107</v>
      </c>
      <c r="C6" s="14" t="s">
        <v>108</v>
      </c>
      <c r="D6" s="78" t="s">
        <v>355</v>
      </c>
      <c r="E6" s="14" t="s">
        <v>25</v>
      </c>
      <c r="F6" s="11" t="s">
        <v>353</v>
      </c>
      <c r="G6" s="14" t="s">
        <v>110</v>
      </c>
      <c r="H6" s="35">
        <f>SUM(H7:H8)</f>
        <v>3960</v>
      </c>
      <c r="I6" s="45">
        <f>I7</f>
        <v>5100</v>
      </c>
      <c r="J6" s="39"/>
      <c r="K6" s="43"/>
      <c r="L6" s="43"/>
      <c r="M6" s="6"/>
      <c r="N6" s="43"/>
      <c r="O6" s="5"/>
      <c r="P6" s="5"/>
      <c r="Q6" s="5"/>
      <c r="R6" s="43"/>
      <c r="S6" s="43"/>
      <c r="T6" s="43">
        <f>MS_StaffAcc_Baseline+MS_StaffAcc_ExO</f>
        <v>43412000</v>
      </c>
      <c r="U6" s="7"/>
      <c r="V6" s="7"/>
      <c r="W6" s="7"/>
      <c r="X6" s="7"/>
      <c r="Y6" s="58"/>
      <c r="Z6" s="58"/>
      <c r="AA6" s="14"/>
      <c r="AB6" s="14"/>
    </row>
    <row r="7" spans="1:28" ht="30" x14ac:dyDescent="0.25">
      <c r="A7" s="56"/>
      <c r="B7" s="56" t="s">
        <v>107</v>
      </c>
      <c r="C7" s="56" t="s">
        <v>108</v>
      </c>
      <c r="D7" s="56" t="s">
        <v>355</v>
      </c>
      <c r="E7" s="56" t="s">
        <v>115</v>
      </c>
      <c r="F7" s="57"/>
      <c r="G7" s="14" t="s">
        <v>110</v>
      </c>
      <c r="H7" s="35">
        <f>Motel_2star</f>
        <v>3600</v>
      </c>
      <c r="I7" s="45">
        <f>6100-1000</f>
        <v>5100</v>
      </c>
      <c r="J7" s="39">
        <f t="shared" si="0"/>
        <v>18360000</v>
      </c>
      <c r="K7" s="43">
        <f t="shared" si="1"/>
        <v>3672000</v>
      </c>
      <c r="L7" s="43">
        <f t="shared" si="2"/>
        <v>3304800</v>
      </c>
      <c r="M7" s="6">
        <f t="shared" si="9"/>
        <v>0.1</v>
      </c>
      <c r="N7" s="43">
        <f t="shared" si="3"/>
        <v>2533680</v>
      </c>
      <c r="O7" s="5">
        <v>0.1</v>
      </c>
      <c r="P7" s="5">
        <f t="shared" si="4"/>
        <v>0.02</v>
      </c>
      <c r="Q7" s="5">
        <f t="shared" si="4"/>
        <v>0.06</v>
      </c>
      <c r="R7" s="43">
        <f t="shared" si="5"/>
        <v>5016686.3999999994</v>
      </c>
      <c r="S7" s="43">
        <f t="shared" si="6"/>
        <v>6577433.2800000003</v>
      </c>
      <c r="T7" s="43">
        <f t="shared" si="7"/>
        <v>39465000</v>
      </c>
      <c r="U7" s="7">
        <v>15</v>
      </c>
      <c r="V7" s="7">
        <f t="shared" si="8"/>
        <v>2037</v>
      </c>
      <c r="W7" s="7">
        <v>2</v>
      </c>
      <c r="X7" s="7">
        <f>W7+V7</f>
        <v>2039</v>
      </c>
      <c r="Y7" s="58" t="s">
        <v>116</v>
      </c>
      <c r="Z7" s="58"/>
      <c r="AA7" s="14"/>
      <c r="AB7" s="14"/>
    </row>
    <row r="8" spans="1:28" ht="30" x14ac:dyDescent="0.25">
      <c r="A8" s="56"/>
      <c r="B8" s="56" t="s">
        <v>107</v>
      </c>
      <c r="C8" s="56" t="s">
        <v>108</v>
      </c>
      <c r="D8" s="56" t="s">
        <v>355</v>
      </c>
      <c r="E8" s="56" t="s">
        <v>117</v>
      </c>
      <c r="F8" s="57" t="s">
        <v>318</v>
      </c>
      <c r="G8" s="14" t="s">
        <v>110</v>
      </c>
      <c r="H8" s="35">
        <f>H7*0.1</f>
        <v>360</v>
      </c>
      <c r="I8" s="45">
        <f>6100-1000</f>
        <v>5100</v>
      </c>
      <c r="J8" s="39">
        <f t="shared" si="0"/>
        <v>1836000</v>
      </c>
      <c r="K8" s="43">
        <f t="shared" si="1"/>
        <v>367200</v>
      </c>
      <c r="L8" s="43">
        <f t="shared" si="2"/>
        <v>330480</v>
      </c>
      <c r="M8" s="6">
        <f t="shared" si="9"/>
        <v>0.1</v>
      </c>
      <c r="N8" s="43">
        <f t="shared" si="3"/>
        <v>253368</v>
      </c>
      <c r="O8" s="5">
        <v>0.1</v>
      </c>
      <c r="P8" s="5">
        <f t="shared" si="4"/>
        <v>0.02</v>
      </c>
      <c r="Q8" s="5">
        <f t="shared" si="4"/>
        <v>0.06</v>
      </c>
      <c r="R8" s="43">
        <f t="shared" si="5"/>
        <v>501668.63999999996</v>
      </c>
      <c r="S8" s="43">
        <f t="shared" si="6"/>
        <v>657743.3280000001</v>
      </c>
      <c r="T8" s="43">
        <f t="shared" si="7"/>
        <v>3947000</v>
      </c>
      <c r="U8" s="7">
        <v>15</v>
      </c>
      <c r="V8" s="7">
        <f t="shared" si="8"/>
        <v>2037</v>
      </c>
      <c r="W8" s="7">
        <v>2</v>
      </c>
      <c r="X8" s="7">
        <f>W8+V8</f>
        <v>2039</v>
      </c>
      <c r="Y8" s="58" t="s">
        <v>116</v>
      </c>
      <c r="Z8" s="58"/>
      <c r="AA8" s="14"/>
      <c r="AB8" s="14"/>
    </row>
    <row r="9" spans="1:28" ht="60" x14ac:dyDescent="0.25">
      <c r="A9" s="14" t="s">
        <v>390</v>
      </c>
      <c r="B9" s="14" t="s">
        <v>107</v>
      </c>
      <c r="C9" s="14" t="s">
        <v>108</v>
      </c>
      <c r="D9" s="78" t="s">
        <v>31</v>
      </c>
      <c r="E9" s="14" t="s">
        <v>360</v>
      </c>
      <c r="F9" s="11" t="s">
        <v>361</v>
      </c>
      <c r="G9" s="14" t="s">
        <v>339</v>
      </c>
      <c r="H9" s="35">
        <f>Bus_Shelter_Robust</f>
        <v>345000</v>
      </c>
      <c r="I9" s="45">
        <v>4</v>
      </c>
      <c r="J9" s="39">
        <f t="shared" si="0"/>
        <v>1380000</v>
      </c>
      <c r="K9" s="43">
        <f t="shared" si="1"/>
        <v>276000</v>
      </c>
      <c r="L9" s="43">
        <f t="shared" si="2"/>
        <v>248400</v>
      </c>
      <c r="M9" s="6">
        <f t="shared" si="9"/>
        <v>0.1</v>
      </c>
      <c r="N9" s="43">
        <f t="shared" si="3"/>
        <v>190440</v>
      </c>
      <c r="O9" s="5">
        <v>0.1</v>
      </c>
      <c r="P9" s="5">
        <f t="shared" si="4"/>
        <v>0.02</v>
      </c>
      <c r="Q9" s="5">
        <f t="shared" si="4"/>
        <v>0.06</v>
      </c>
      <c r="R9" s="43">
        <f t="shared" si="5"/>
        <v>377071.2</v>
      </c>
      <c r="S9" s="43">
        <f t="shared" si="6"/>
        <v>494382.24000000005</v>
      </c>
      <c r="T9" s="43">
        <f t="shared" si="7"/>
        <v>2967000</v>
      </c>
      <c r="U9" s="7">
        <v>0</v>
      </c>
      <c r="V9" s="7">
        <f t="shared" si="8"/>
        <v>2022</v>
      </c>
      <c r="W9" s="7">
        <v>2</v>
      </c>
      <c r="X9" s="7">
        <f t="shared" ref="X9" si="10">W9+V9</f>
        <v>2024</v>
      </c>
      <c r="Y9" s="58" t="s">
        <v>119</v>
      </c>
      <c r="Z9" s="58"/>
      <c r="AA9" s="14"/>
      <c r="AB9" s="14"/>
    </row>
    <row r="10" spans="1:28" ht="44.45" customHeight="1" x14ac:dyDescent="0.25">
      <c r="A10" s="14" t="s">
        <v>379</v>
      </c>
      <c r="B10" s="14" t="s">
        <v>107</v>
      </c>
      <c r="C10" s="14" t="s">
        <v>108</v>
      </c>
      <c r="D10" s="78" t="s">
        <v>362</v>
      </c>
      <c r="E10" s="14" t="s">
        <v>30</v>
      </c>
      <c r="F10" s="11" t="s">
        <v>364</v>
      </c>
      <c r="G10" s="14" t="s">
        <v>339</v>
      </c>
      <c r="H10" s="35">
        <f>Bus_Shelter_Robust</f>
        <v>345000</v>
      </c>
      <c r="I10" s="45">
        <v>1</v>
      </c>
      <c r="J10" s="39">
        <f t="shared" si="0"/>
        <v>345000</v>
      </c>
      <c r="K10" s="43">
        <f t="shared" si="1"/>
        <v>69000</v>
      </c>
      <c r="L10" s="43">
        <f t="shared" si="2"/>
        <v>62100</v>
      </c>
      <c r="M10" s="6">
        <f t="shared" si="9"/>
        <v>0.1</v>
      </c>
      <c r="N10" s="43">
        <f t="shared" ref="N10:N128" si="11">SUM($J10:$L10)*$M10</f>
        <v>47610</v>
      </c>
      <c r="O10" s="5">
        <f>O$1</f>
        <v>0.06</v>
      </c>
      <c r="P10" s="5">
        <f t="shared" si="4"/>
        <v>0.02</v>
      </c>
      <c r="Q10" s="5">
        <f t="shared" si="4"/>
        <v>0.06</v>
      </c>
      <c r="R10" s="43">
        <f t="shared" ref="R10:R127" si="12">SUM($O10:$Q10)*SUM($J10:$L10,N10)</f>
        <v>73319.400000000009</v>
      </c>
      <c r="S10" s="43">
        <f t="shared" ref="S10:S127" si="13">SUM(R10,$J10:$L10,$N10)*S$1</f>
        <v>119405.88</v>
      </c>
      <c r="T10" s="43">
        <f t="shared" ref="T10:T128" si="14">ROUNDUP(SUM($R10:$S10,$J10:$L10,$N10),-3)</f>
        <v>717000</v>
      </c>
      <c r="U10" s="7">
        <v>0</v>
      </c>
      <c r="V10" s="7">
        <f t="shared" ref="V10:V31" si="15">$V$1+U10</f>
        <v>2022</v>
      </c>
      <c r="W10" s="7">
        <v>2</v>
      </c>
      <c r="X10" s="7">
        <f t="shared" ref="X10:X13" si="16">W10+V10</f>
        <v>2024</v>
      </c>
      <c r="Y10" s="58" t="s">
        <v>119</v>
      </c>
      <c r="Z10" s="58"/>
      <c r="AA10" s="14"/>
      <c r="AB10" s="14"/>
    </row>
    <row r="11" spans="1:28" ht="31.35" customHeight="1" x14ac:dyDescent="0.25">
      <c r="A11" s="14" t="s">
        <v>380</v>
      </c>
      <c r="B11" s="14" t="s">
        <v>107</v>
      </c>
      <c r="C11" s="14" t="s">
        <v>108</v>
      </c>
      <c r="D11" s="78" t="s">
        <v>362</v>
      </c>
      <c r="E11" s="14" t="s">
        <v>121</v>
      </c>
      <c r="F11" s="11" t="s">
        <v>363</v>
      </c>
      <c r="G11" s="14" t="s">
        <v>152</v>
      </c>
      <c r="H11" s="35">
        <f>CoveredWalkway</f>
        <v>1840</v>
      </c>
      <c r="I11" s="45">
        <v>170</v>
      </c>
      <c r="J11" s="39">
        <f t="shared" si="0"/>
        <v>312800</v>
      </c>
      <c r="K11" s="43">
        <f t="shared" si="1"/>
        <v>62560</v>
      </c>
      <c r="L11" s="43">
        <f t="shared" si="2"/>
        <v>56304</v>
      </c>
      <c r="M11" s="6">
        <f t="shared" si="9"/>
        <v>0.1</v>
      </c>
      <c r="N11" s="43">
        <f t="shared" si="11"/>
        <v>43166.400000000001</v>
      </c>
      <c r="O11" s="5">
        <f>O$1</f>
        <v>0.06</v>
      </c>
      <c r="P11" s="5">
        <f t="shared" si="4"/>
        <v>0.02</v>
      </c>
      <c r="Q11" s="5">
        <f t="shared" si="4"/>
        <v>0.06</v>
      </c>
      <c r="R11" s="43">
        <f t="shared" ref="R11" si="17">SUM($O11:$Q11)*SUM($J11:$L11,N11)</f>
        <v>66476.256000000008</v>
      </c>
      <c r="S11" s="43">
        <f t="shared" ref="S11" si="18">SUM(R11,$J11:$L11,$N11)*S$1</f>
        <v>108261.3312</v>
      </c>
      <c r="T11" s="43">
        <f t="shared" si="14"/>
        <v>650000</v>
      </c>
      <c r="U11" s="7">
        <v>0</v>
      </c>
      <c r="V11" s="7">
        <f t="shared" ref="V11" si="19">$V$1+U11</f>
        <v>2022</v>
      </c>
      <c r="W11" s="7">
        <v>2</v>
      </c>
      <c r="X11" s="7">
        <f t="shared" ref="X11" si="20">W11+V11</f>
        <v>2024</v>
      </c>
      <c r="Y11" s="58" t="s">
        <v>119</v>
      </c>
      <c r="Z11" s="58"/>
      <c r="AA11" s="14"/>
      <c r="AB11" s="14"/>
    </row>
    <row r="12" spans="1:28" ht="45" x14ac:dyDescent="0.25">
      <c r="A12" s="14" t="s">
        <v>381</v>
      </c>
      <c r="B12" s="14" t="s">
        <v>107</v>
      </c>
      <c r="C12" s="14" t="s">
        <v>108</v>
      </c>
      <c r="D12" s="78" t="s">
        <v>27</v>
      </c>
      <c r="E12" s="14" t="s">
        <v>415</v>
      </c>
      <c r="F12" s="11" t="s">
        <v>359</v>
      </c>
      <c r="G12" s="14" t="s">
        <v>110</v>
      </c>
      <c r="H12" s="35">
        <f>SUM(H13:H14)</f>
        <v>5500</v>
      </c>
      <c r="I12" s="45">
        <f>I13</f>
        <v>950</v>
      </c>
      <c r="J12" s="39">
        <f>$I12*$H12</f>
        <v>5225000</v>
      </c>
      <c r="K12" s="43"/>
      <c r="L12" s="43"/>
      <c r="M12" s="6"/>
      <c r="N12" s="43"/>
      <c r="O12" s="5"/>
      <c r="P12" s="5"/>
      <c r="Q12" s="5"/>
      <c r="R12" s="43"/>
      <c r="S12" s="43"/>
      <c r="T12" s="43">
        <f>T13+T14</f>
        <v>11233000</v>
      </c>
      <c r="U12" s="7"/>
      <c r="V12" s="7"/>
      <c r="W12" s="7"/>
      <c r="X12" s="7"/>
      <c r="Y12" s="58"/>
      <c r="Z12" s="58"/>
      <c r="AA12" s="14"/>
      <c r="AB12" s="14"/>
    </row>
    <row r="13" spans="1:28" ht="30" x14ac:dyDescent="0.25">
      <c r="A13" s="56"/>
      <c r="B13" s="56" t="s">
        <v>107</v>
      </c>
      <c r="C13" s="56" t="s">
        <v>108</v>
      </c>
      <c r="D13" s="56" t="s">
        <v>27</v>
      </c>
      <c r="E13" s="56" t="s">
        <v>122</v>
      </c>
      <c r="F13" s="57"/>
      <c r="G13" s="14" t="s">
        <v>110</v>
      </c>
      <c r="H13" s="35">
        <f>Experience_Hub</f>
        <v>5000</v>
      </c>
      <c r="I13" s="45">
        <v>950</v>
      </c>
      <c r="J13" s="39">
        <f t="shared" si="0"/>
        <v>4750000</v>
      </c>
      <c r="K13" s="43">
        <f t="shared" si="1"/>
        <v>950000</v>
      </c>
      <c r="L13" s="43">
        <f t="shared" si="2"/>
        <v>855000</v>
      </c>
      <c r="M13" s="6">
        <f t="shared" si="9"/>
        <v>0.1</v>
      </c>
      <c r="N13" s="43">
        <f t="shared" si="11"/>
        <v>655500</v>
      </c>
      <c r="O13" s="5">
        <v>0.1</v>
      </c>
      <c r="P13" s="5">
        <f t="shared" si="4"/>
        <v>0.02</v>
      </c>
      <c r="Q13" s="5">
        <f t="shared" si="4"/>
        <v>0.06</v>
      </c>
      <c r="R13" s="43">
        <f t="shared" si="12"/>
        <v>1297890</v>
      </c>
      <c r="S13" s="43">
        <f t="shared" si="13"/>
        <v>1701678</v>
      </c>
      <c r="T13" s="43">
        <f t="shared" si="14"/>
        <v>10211000</v>
      </c>
      <c r="U13" s="7">
        <v>15</v>
      </c>
      <c r="V13" s="7">
        <f t="shared" si="15"/>
        <v>2037</v>
      </c>
      <c r="W13" s="7">
        <v>2</v>
      </c>
      <c r="X13" s="7">
        <f t="shared" si="16"/>
        <v>2039</v>
      </c>
      <c r="Y13" s="58" t="s">
        <v>120</v>
      </c>
      <c r="Z13" s="58"/>
      <c r="AA13" s="14"/>
      <c r="AB13" s="14"/>
    </row>
    <row r="14" spans="1:28" ht="30" x14ac:dyDescent="0.25">
      <c r="A14" s="56"/>
      <c r="B14" s="56" t="s">
        <v>107</v>
      </c>
      <c r="C14" s="56" t="s">
        <v>108</v>
      </c>
      <c r="D14" s="56" t="s">
        <v>27</v>
      </c>
      <c r="E14" s="57" t="s">
        <v>123</v>
      </c>
      <c r="F14" s="57" t="s">
        <v>124</v>
      </c>
      <c r="G14" s="14" t="s">
        <v>110</v>
      </c>
      <c r="H14" s="35">
        <f>H13*0.1</f>
        <v>500</v>
      </c>
      <c r="I14" s="45">
        <v>950</v>
      </c>
      <c r="J14" s="39">
        <f t="shared" si="0"/>
        <v>475000</v>
      </c>
      <c r="K14" s="43">
        <f t="shared" si="1"/>
        <v>95000</v>
      </c>
      <c r="L14" s="43">
        <f t="shared" si="2"/>
        <v>85500</v>
      </c>
      <c r="M14" s="6">
        <f t="shared" si="9"/>
        <v>0.1</v>
      </c>
      <c r="N14" s="43">
        <f t="shared" si="11"/>
        <v>65550</v>
      </c>
      <c r="O14" s="5">
        <v>0.1</v>
      </c>
      <c r="P14" s="5">
        <f t="shared" si="4"/>
        <v>0.02</v>
      </c>
      <c r="Q14" s="5">
        <f t="shared" si="4"/>
        <v>0.06</v>
      </c>
      <c r="R14" s="43">
        <f t="shared" ref="R14" si="21">SUM($O14:$Q14)*SUM($J14:$L14,N14)</f>
        <v>129789</v>
      </c>
      <c r="S14" s="43">
        <f t="shared" ref="S14" si="22">SUM(R14,$J14:$L14,$N14)*S$1</f>
        <v>170167.80000000002</v>
      </c>
      <c r="T14" s="43">
        <f t="shared" si="14"/>
        <v>1022000</v>
      </c>
      <c r="U14" s="7">
        <v>15</v>
      </c>
      <c r="V14" s="7">
        <f t="shared" si="15"/>
        <v>2037</v>
      </c>
      <c r="W14" s="7">
        <v>2</v>
      </c>
      <c r="X14" s="7">
        <f t="shared" ref="X14" si="23">W14+V14</f>
        <v>2039</v>
      </c>
      <c r="Y14" s="58" t="s">
        <v>120</v>
      </c>
      <c r="Z14" s="58"/>
      <c r="AA14" s="14"/>
      <c r="AB14" s="14"/>
    </row>
    <row r="15" spans="1:28" ht="60" x14ac:dyDescent="0.25">
      <c r="A15" s="14" t="s">
        <v>382</v>
      </c>
      <c r="B15" s="14" t="s">
        <v>107</v>
      </c>
      <c r="C15" s="14" t="s">
        <v>108</v>
      </c>
      <c r="D15" s="78" t="s">
        <v>18</v>
      </c>
      <c r="E15" s="14" t="s">
        <v>416</v>
      </c>
      <c r="F15" s="11" t="s">
        <v>358</v>
      </c>
      <c r="G15" s="14" t="s">
        <v>110</v>
      </c>
      <c r="H15" s="35"/>
      <c r="I15" s="45">
        <f>I16</f>
        <v>1800</v>
      </c>
      <c r="J15" s="39"/>
      <c r="K15" s="43"/>
      <c r="L15" s="43"/>
      <c r="M15" s="6"/>
      <c r="N15" s="43"/>
      <c r="O15" s="5"/>
      <c r="P15" s="5"/>
      <c r="Q15" s="5"/>
      <c r="R15" s="43"/>
      <c r="S15" s="43"/>
      <c r="T15" s="43">
        <f>T16+T17</f>
        <v>21281000</v>
      </c>
      <c r="U15" s="7">
        <v>0</v>
      </c>
      <c r="V15" s="7">
        <f>$V$1+U15</f>
        <v>2022</v>
      </c>
      <c r="W15" s="7">
        <v>3</v>
      </c>
      <c r="X15" s="7">
        <f>W15+V15</f>
        <v>2025</v>
      </c>
      <c r="Y15" s="58"/>
      <c r="Z15" s="58"/>
      <c r="AA15" s="14"/>
      <c r="AB15" s="14"/>
    </row>
    <row r="16" spans="1:28" ht="17.25" x14ac:dyDescent="0.25">
      <c r="A16" s="56"/>
      <c r="B16" s="56" t="s">
        <v>107</v>
      </c>
      <c r="C16" s="56" t="s">
        <v>108</v>
      </c>
      <c r="D16" s="56" t="s">
        <v>18</v>
      </c>
      <c r="E16" s="56" t="s">
        <v>125</v>
      </c>
      <c r="F16" s="57"/>
      <c r="G16" s="56" t="s">
        <v>110</v>
      </c>
      <c r="H16" s="35">
        <f>Experience_Hub</f>
        <v>5000</v>
      </c>
      <c r="I16" s="45">
        <v>1800</v>
      </c>
      <c r="J16" s="39">
        <f>$I16*$H16</f>
        <v>9000000</v>
      </c>
      <c r="K16" s="43">
        <f>$J16*K$1</f>
        <v>1800000</v>
      </c>
      <c r="L16" s="43">
        <f>SUM($J16:$K16)*L$1</f>
        <v>1620000</v>
      </c>
      <c r="M16" s="6">
        <f t="shared" si="9"/>
        <v>0.1</v>
      </c>
      <c r="N16" s="43">
        <f>SUM($J16:$L16)*$M16</f>
        <v>1242000</v>
      </c>
      <c r="O16" s="5">
        <v>0.1</v>
      </c>
      <c r="P16" s="5">
        <f t="shared" si="4"/>
        <v>0.02</v>
      </c>
      <c r="Q16" s="5">
        <f t="shared" si="4"/>
        <v>0.06</v>
      </c>
      <c r="R16" s="43">
        <f>SUM($O16:$Q16)*SUM($J16:$L16,N16)</f>
        <v>2459160</v>
      </c>
      <c r="S16" s="43">
        <f>SUM(R16,$J16:$L16,$N16)*S$1</f>
        <v>3224232</v>
      </c>
      <c r="T16" s="43">
        <f>ROUNDUP(SUM($R16:$S16,$J16:$L16,$N16),-3)</f>
        <v>19346000</v>
      </c>
      <c r="U16" s="7">
        <v>0</v>
      </c>
      <c r="V16" s="7">
        <f t="shared" si="15"/>
        <v>2022</v>
      </c>
      <c r="W16" s="7">
        <v>3</v>
      </c>
      <c r="X16" s="7">
        <f>W16+V16</f>
        <v>2025</v>
      </c>
      <c r="Y16" s="58" t="s">
        <v>112</v>
      </c>
      <c r="Z16" s="58"/>
      <c r="AA16" s="14"/>
      <c r="AB16" s="14"/>
    </row>
    <row r="17" spans="1:28" ht="30" x14ac:dyDescent="0.25">
      <c r="A17" s="56"/>
      <c r="B17" s="56" t="s">
        <v>107</v>
      </c>
      <c r="C17" s="56" t="s">
        <v>108</v>
      </c>
      <c r="D17" s="56" t="s">
        <v>18</v>
      </c>
      <c r="E17" s="57" t="s">
        <v>126</v>
      </c>
      <c r="F17" s="57" t="s">
        <v>127</v>
      </c>
      <c r="G17" s="56" t="s">
        <v>110</v>
      </c>
      <c r="H17" s="35">
        <f>H16*0.1</f>
        <v>500</v>
      </c>
      <c r="I17" s="45">
        <v>1800</v>
      </c>
      <c r="J17" s="39">
        <f>$I17*$H17</f>
        <v>900000</v>
      </c>
      <c r="K17" s="43">
        <f>$J17*K$1</f>
        <v>180000</v>
      </c>
      <c r="L17" s="43">
        <f>SUM($J17:$K17)*L$1</f>
        <v>162000</v>
      </c>
      <c r="M17" s="6">
        <f t="shared" si="9"/>
        <v>0.1</v>
      </c>
      <c r="N17" s="43">
        <f>SUM($J17:$L17)*$M17</f>
        <v>124200</v>
      </c>
      <c r="O17" s="5">
        <v>0.1</v>
      </c>
      <c r="P17" s="5">
        <f t="shared" si="4"/>
        <v>0.02</v>
      </c>
      <c r="Q17" s="5">
        <f t="shared" si="4"/>
        <v>0.06</v>
      </c>
      <c r="R17" s="43">
        <f>SUM($O17:$Q17)*SUM($J17:$L17,N17)</f>
        <v>245916</v>
      </c>
      <c r="S17" s="43">
        <f>SUM(R17,$J17:$L17,$N17)*S$1</f>
        <v>322423.2</v>
      </c>
      <c r="T17" s="43">
        <f>ROUNDUP(SUM($R17:$S17,$J17:$L17,$N17),-3)</f>
        <v>1935000</v>
      </c>
      <c r="U17" s="7">
        <v>0</v>
      </c>
      <c r="V17" s="7">
        <f t="shared" ref="V17" si="24">$V$1+U17</f>
        <v>2022</v>
      </c>
      <c r="W17" s="7">
        <v>3</v>
      </c>
      <c r="X17" s="7">
        <f>W17+V17</f>
        <v>2025</v>
      </c>
      <c r="Y17" s="58" t="s">
        <v>112</v>
      </c>
      <c r="Z17" s="58"/>
      <c r="AA17" s="14"/>
      <c r="AB17" s="14"/>
    </row>
    <row r="18" spans="1:28" ht="51" customHeight="1" x14ac:dyDescent="0.25">
      <c r="A18" s="14" t="s">
        <v>413</v>
      </c>
      <c r="B18" s="14" t="s">
        <v>107</v>
      </c>
      <c r="C18" s="14" t="s">
        <v>137</v>
      </c>
      <c r="D18" s="78" t="s">
        <v>28</v>
      </c>
      <c r="E18" s="14" t="s">
        <v>414</v>
      </c>
      <c r="F18" s="11" t="s">
        <v>410</v>
      </c>
      <c r="G18" s="14"/>
      <c r="H18" s="35"/>
      <c r="I18" s="45"/>
      <c r="J18" s="39"/>
      <c r="K18" s="43"/>
      <c r="L18" s="43"/>
      <c r="M18" s="6"/>
      <c r="N18" s="43"/>
      <c r="O18" s="5"/>
      <c r="P18" s="5"/>
      <c r="Q18" s="5"/>
      <c r="R18" s="43"/>
      <c r="S18" s="43"/>
      <c r="T18" s="43">
        <f>SUM(T19:T22)</f>
        <v>2854000</v>
      </c>
      <c r="U18" s="7">
        <v>0</v>
      </c>
      <c r="V18" s="7">
        <f t="shared" si="15"/>
        <v>2022</v>
      </c>
      <c r="W18" s="7">
        <v>3</v>
      </c>
      <c r="X18" s="7">
        <f>W18+V18</f>
        <v>2025</v>
      </c>
      <c r="Y18" s="58" t="s">
        <v>129</v>
      </c>
      <c r="Z18" s="58"/>
      <c r="AA18" s="14"/>
      <c r="AB18" s="14"/>
    </row>
    <row r="19" spans="1:28" ht="30" x14ac:dyDescent="0.25">
      <c r="A19" s="56"/>
      <c r="B19" s="56" t="s">
        <v>107</v>
      </c>
      <c r="C19" s="56" t="s">
        <v>137</v>
      </c>
      <c r="D19" s="56" t="s">
        <v>28</v>
      </c>
      <c r="E19" s="56" t="s">
        <v>404</v>
      </c>
      <c r="F19" s="57" t="s">
        <v>405</v>
      </c>
      <c r="G19" s="56" t="s">
        <v>110</v>
      </c>
      <c r="H19" s="35">
        <f>Motel_2star</f>
        <v>3600</v>
      </c>
      <c r="I19" s="45">
        <v>100</v>
      </c>
      <c r="J19" s="39">
        <f t="shared" si="0"/>
        <v>360000</v>
      </c>
      <c r="K19" s="43">
        <f t="shared" si="1"/>
        <v>72000</v>
      </c>
      <c r="L19" s="43">
        <f t="shared" si="2"/>
        <v>64800</v>
      </c>
      <c r="M19" s="6">
        <f t="shared" si="9"/>
        <v>0.1</v>
      </c>
      <c r="N19" s="43">
        <f t="shared" si="11"/>
        <v>49680</v>
      </c>
      <c r="O19" s="5">
        <v>0.1</v>
      </c>
      <c r="P19" s="5">
        <f t="shared" si="4"/>
        <v>0.02</v>
      </c>
      <c r="Q19" s="5">
        <f t="shared" si="4"/>
        <v>0.06</v>
      </c>
      <c r="R19" s="43">
        <f t="shared" ref="R19" si="25">SUM($O19:$Q19)*SUM($J19:$L19,N19)</f>
        <v>98366.399999999994</v>
      </c>
      <c r="S19" s="43">
        <f t="shared" ref="S19" si="26">SUM(R19,$J19:$L19,$N19)*S$1</f>
        <v>128969.28000000001</v>
      </c>
      <c r="T19" s="43">
        <f t="shared" si="14"/>
        <v>774000</v>
      </c>
      <c r="U19" s="7">
        <v>0</v>
      </c>
      <c r="V19" s="7">
        <f t="shared" ref="V19" si="27">$V$1+U19</f>
        <v>2022</v>
      </c>
      <c r="W19" s="7">
        <v>3</v>
      </c>
      <c r="X19" s="7">
        <f>W19+V19</f>
        <v>2025</v>
      </c>
      <c r="Y19" s="58" t="s">
        <v>129</v>
      </c>
      <c r="Z19" s="58"/>
      <c r="AA19" s="14"/>
      <c r="AB19" s="14"/>
    </row>
    <row r="20" spans="1:28" ht="30" x14ac:dyDescent="0.25">
      <c r="A20" s="56"/>
      <c r="B20" s="56" t="s">
        <v>107</v>
      </c>
      <c r="C20" s="56" t="s">
        <v>137</v>
      </c>
      <c r="D20" s="56" t="s">
        <v>28</v>
      </c>
      <c r="E20" s="56" t="s">
        <v>406</v>
      </c>
      <c r="F20" s="57" t="s">
        <v>407</v>
      </c>
      <c r="G20" s="56" t="s">
        <v>152</v>
      </c>
      <c r="H20" s="35">
        <f>Track_Tramping</f>
        <v>400</v>
      </c>
      <c r="I20" s="45">
        <v>120</v>
      </c>
      <c r="J20" s="39">
        <f t="shared" si="0"/>
        <v>48000</v>
      </c>
      <c r="K20" s="43">
        <f t="shared" si="1"/>
        <v>9600</v>
      </c>
      <c r="L20" s="43">
        <f t="shared" si="2"/>
        <v>8640</v>
      </c>
      <c r="M20" s="6">
        <f t="shared" si="9"/>
        <v>0.1</v>
      </c>
      <c r="N20" s="43">
        <f t="shared" si="11"/>
        <v>6624</v>
      </c>
      <c r="O20" s="5">
        <v>0.06</v>
      </c>
      <c r="P20" s="5">
        <f t="shared" si="4"/>
        <v>0.02</v>
      </c>
      <c r="Q20" s="5">
        <f t="shared" si="4"/>
        <v>0.06</v>
      </c>
      <c r="R20" s="43">
        <f t="shared" ref="R20" si="28">SUM($O20:$Q20)*SUM($J20:$L20,N20)</f>
        <v>10200.960000000001</v>
      </c>
      <c r="S20" s="43">
        <f t="shared" ref="S20" si="29">SUM(R20,$J20:$L20,$N20)*S$1</f>
        <v>16612.991999999998</v>
      </c>
      <c r="T20" s="43">
        <f t="shared" si="14"/>
        <v>100000</v>
      </c>
      <c r="U20" s="7"/>
      <c r="V20" s="7"/>
      <c r="W20" s="7"/>
      <c r="X20" s="7"/>
      <c r="Y20" s="58"/>
      <c r="Z20" s="58"/>
      <c r="AA20" s="14"/>
      <c r="AB20" s="14"/>
    </row>
    <row r="21" spans="1:28" ht="30" x14ac:dyDescent="0.25">
      <c r="A21" s="56"/>
      <c r="B21" s="56" t="s">
        <v>107</v>
      </c>
      <c r="C21" s="56" t="s">
        <v>137</v>
      </c>
      <c r="D21" s="56" t="s">
        <v>28</v>
      </c>
      <c r="E21" s="56" t="s">
        <v>408</v>
      </c>
      <c r="F21" s="57" t="s">
        <v>409</v>
      </c>
      <c r="G21" s="56" t="s">
        <v>110</v>
      </c>
      <c r="H21" s="35">
        <f>Pavement_Developed</f>
        <v>250</v>
      </c>
      <c r="I21" s="45">
        <f>50*20</f>
        <v>1000</v>
      </c>
      <c r="J21" s="39">
        <f t="shared" si="0"/>
        <v>250000</v>
      </c>
      <c r="K21" s="43">
        <f t="shared" si="1"/>
        <v>50000</v>
      </c>
      <c r="L21" s="43">
        <f t="shared" si="2"/>
        <v>45000</v>
      </c>
      <c r="M21" s="6">
        <f t="shared" si="9"/>
        <v>0.1</v>
      </c>
      <c r="N21" s="43">
        <f t="shared" si="11"/>
        <v>34500</v>
      </c>
      <c r="O21" s="5">
        <v>0.06</v>
      </c>
      <c r="P21" s="5">
        <f t="shared" si="4"/>
        <v>0.02</v>
      </c>
      <c r="Q21" s="5">
        <f t="shared" si="4"/>
        <v>0.06</v>
      </c>
      <c r="R21" s="43">
        <f t="shared" ref="R21:R22" si="30">SUM($O21:$Q21)*SUM($J21:$L21,N21)</f>
        <v>53130.000000000007</v>
      </c>
      <c r="S21" s="43">
        <f t="shared" ref="S21:S22" si="31">SUM(R21,$J21:$L21,$N21)*S$1</f>
        <v>86526</v>
      </c>
      <c r="T21" s="43">
        <f t="shared" si="14"/>
        <v>520000</v>
      </c>
      <c r="U21" s="7"/>
      <c r="V21" s="7"/>
      <c r="W21" s="7"/>
      <c r="X21" s="7"/>
      <c r="Y21" s="58"/>
      <c r="Z21" s="58"/>
      <c r="AA21" s="14"/>
      <c r="AB21" s="14"/>
    </row>
    <row r="22" spans="1:28" ht="30" x14ac:dyDescent="0.25">
      <c r="A22" s="56"/>
      <c r="B22" s="56" t="s">
        <v>107</v>
      </c>
      <c r="C22" s="56" t="s">
        <v>137</v>
      </c>
      <c r="D22" s="56" t="s">
        <v>28</v>
      </c>
      <c r="E22" s="56" t="s">
        <v>411</v>
      </c>
      <c r="F22" s="57" t="s">
        <v>412</v>
      </c>
      <c r="G22" s="56" t="s">
        <v>110</v>
      </c>
      <c r="H22" s="35">
        <f>Metalled_Pavement</f>
        <v>190</v>
      </c>
      <c r="I22" s="45">
        <v>3700</v>
      </c>
      <c r="J22" s="39">
        <f t="shared" si="0"/>
        <v>703000</v>
      </c>
      <c r="K22" s="43">
        <f t="shared" si="1"/>
        <v>140600</v>
      </c>
      <c r="L22" s="43">
        <f t="shared" si="2"/>
        <v>126540</v>
      </c>
      <c r="M22" s="6">
        <f t="shared" si="9"/>
        <v>0.1</v>
      </c>
      <c r="N22" s="43">
        <f t="shared" si="11"/>
        <v>97014</v>
      </c>
      <c r="O22" s="5">
        <v>0.06</v>
      </c>
      <c r="P22" s="5">
        <f t="shared" si="4"/>
        <v>0.02</v>
      </c>
      <c r="Q22" s="5">
        <f t="shared" si="4"/>
        <v>0.06</v>
      </c>
      <c r="R22" s="43">
        <f t="shared" si="30"/>
        <v>149401.56000000003</v>
      </c>
      <c r="S22" s="43">
        <f t="shared" si="31"/>
        <v>243311.11200000002</v>
      </c>
      <c r="T22" s="43">
        <f t="shared" si="14"/>
        <v>1460000</v>
      </c>
      <c r="U22" s="7"/>
      <c r="V22" s="7"/>
      <c r="W22" s="7"/>
      <c r="X22" s="7"/>
      <c r="Y22" s="58"/>
      <c r="Z22" s="58"/>
      <c r="AA22" s="14"/>
      <c r="AB22" s="14"/>
    </row>
    <row r="23" spans="1:28" ht="30" x14ac:dyDescent="0.25">
      <c r="A23" s="14" t="s">
        <v>403</v>
      </c>
      <c r="B23" s="14" t="s">
        <v>107</v>
      </c>
      <c r="C23" s="14" t="s">
        <v>108</v>
      </c>
      <c r="D23" s="78" t="s">
        <v>28</v>
      </c>
      <c r="E23" s="14" t="s">
        <v>29</v>
      </c>
      <c r="F23" s="11" t="s">
        <v>402</v>
      </c>
      <c r="G23" s="14" t="s">
        <v>110</v>
      </c>
      <c r="H23" s="35"/>
      <c r="I23" s="45">
        <f>I24</f>
        <v>300</v>
      </c>
      <c r="J23" s="39">
        <f t="shared" si="0"/>
        <v>0</v>
      </c>
      <c r="K23" s="43">
        <f t="shared" si="1"/>
        <v>0</v>
      </c>
      <c r="L23" s="43">
        <f t="shared" si="2"/>
        <v>0</v>
      </c>
      <c r="M23" s="6">
        <f t="shared" si="9"/>
        <v>0.1</v>
      </c>
      <c r="N23" s="43">
        <f t="shared" si="11"/>
        <v>0</v>
      </c>
      <c r="O23" s="5">
        <v>0.1</v>
      </c>
      <c r="P23" s="5">
        <f t="shared" si="4"/>
        <v>0.02</v>
      </c>
      <c r="Q23" s="5">
        <f t="shared" si="4"/>
        <v>0.06</v>
      </c>
      <c r="R23" s="43">
        <f t="shared" ref="R23" si="32">SUM($O23:$Q23)*SUM($J23:$L23,N23)</f>
        <v>0</v>
      </c>
      <c r="S23" s="43">
        <f t="shared" ref="S23" si="33">SUM(R23,$J23:$L23,$N23)*S$1</f>
        <v>0</v>
      </c>
      <c r="T23" s="43">
        <f>SUM(T24:T25)</f>
        <v>2413000</v>
      </c>
      <c r="U23" s="7">
        <v>0</v>
      </c>
      <c r="V23" s="7">
        <f t="shared" ref="V23" si="34">$V$1+U23</f>
        <v>2022</v>
      </c>
      <c r="W23" s="7">
        <v>3</v>
      </c>
      <c r="X23" s="7">
        <f>W23+V23</f>
        <v>2025</v>
      </c>
      <c r="Y23" s="58" t="s">
        <v>129</v>
      </c>
      <c r="Z23" s="58"/>
      <c r="AA23" s="14"/>
      <c r="AB23" s="14"/>
    </row>
    <row r="24" spans="1:28" ht="30" x14ac:dyDescent="0.25">
      <c r="A24" s="56"/>
      <c r="B24" s="56" t="s">
        <v>107</v>
      </c>
      <c r="C24" s="56" t="s">
        <v>108</v>
      </c>
      <c r="D24" s="56" t="s">
        <v>28</v>
      </c>
      <c r="E24" s="56" t="s">
        <v>29</v>
      </c>
      <c r="F24" s="57" t="s">
        <v>128</v>
      </c>
      <c r="G24" s="56" t="s">
        <v>110</v>
      </c>
      <c r="H24" s="35">
        <f>Motel_2star</f>
        <v>3600</v>
      </c>
      <c r="I24" s="45">
        <v>300</v>
      </c>
      <c r="J24" s="39">
        <f t="shared" si="0"/>
        <v>1080000</v>
      </c>
      <c r="K24" s="43">
        <f t="shared" si="1"/>
        <v>216000</v>
      </c>
      <c r="L24" s="43">
        <f t="shared" si="2"/>
        <v>194400</v>
      </c>
      <c r="M24" s="6">
        <f t="shared" si="9"/>
        <v>0.1</v>
      </c>
      <c r="N24" s="43">
        <f t="shared" si="11"/>
        <v>149040</v>
      </c>
      <c r="O24" s="5">
        <v>0.1</v>
      </c>
      <c r="P24" s="5">
        <f t="shared" si="4"/>
        <v>0.02</v>
      </c>
      <c r="Q24" s="5">
        <f t="shared" si="4"/>
        <v>0.06</v>
      </c>
      <c r="R24" s="43">
        <f t="shared" ref="R24:R25" si="35">SUM($O24:$Q24)*SUM($J24:$L24,N24)</f>
        <v>295099.2</v>
      </c>
      <c r="S24" s="43">
        <f t="shared" ref="S24:S25" si="36">SUM(R24,$J24:$L24,$N24)*S$1</f>
        <v>386907.84</v>
      </c>
      <c r="T24" s="43">
        <f t="shared" si="14"/>
        <v>2322000</v>
      </c>
      <c r="U24" s="7">
        <v>0</v>
      </c>
      <c r="V24" s="7">
        <f t="shared" ref="V24:V25" si="37">$V$1+U24</f>
        <v>2022</v>
      </c>
      <c r="W24" s="7">
        <v>3</v>
      </c>
      <c r="X24" s="7">
        <f t="shared" ref="X24:X25" si="38">W24+V24</f>
        <v>2025</v>
      </c>
      <c r="Y24" s="58" t="s">
        <v>129</v>
      </c>
      <c r="Z24" s="58"/>
      <c r="AA24" s="14"/>
      <c r="AB24" s="14"/>
    </row>
    <row r="25" spans="1:28" ht="30" x14ac:dyDescent="0.25">
      <c r="A25" s="56"/>
      <c r="B25" s="56" t="s">
        <v>107</v>
      </c>
      <c r="C25" s="56" t="s">
        <v>108</v>
      </c>
      <c r="D25" s="56" t="s">
        <v>28</v>
      </c>
      <c r="E25" s="57" t="s">
        <v>401</v>
      </c>
      <c r="F25" s="57" t="s">
        <v>400</v>
      </c>
      <c r="G25" s="56" t="s">
        <v>110</v>
      </c>
      <c r="H25" s="35">
        <f>Demolition</f>
        <v>140</v>
      </c>
      <c r="I25" s="45">
        <v>300</v>
      </c>
      <c r="J25" s="39">
        <f t="shared" si="0"/>
        <v>42000</v>
      </c>
      <c r="K25" s="43">
        <f t="shared" si="1"/>
        <v>8400</v>
      </c>
      <c r="L25" s="43">
        <f t="shared" si="2"/>
        <v>7560</v>
      </c>
      <c r="M25" s="6">
        <f t="shared" si="9"/>
        <v>0.1</v>
      </c>
      <c r="N25" s="43">
        <f t="shared" si="11"/>
        <v>5796</v>
      </c>
      <c r="O25" s="5">
        <v>0.1</v>
      </c>
      <c r="P25" s="5">
        <f t="shared" si="4"/>
        <v>0.02</v>
      </c>
      <c r="Q25" s="5">
        <f t="shared" si="4"/>
        <v>0.06</v>
      </c>
      <c r="R25" s="43">
        <f t="shared" si="35"/>
        <v>11476.08</v>
      </c>
      <c r="S25" s="43">
        <f t="shared" si="36"/>
        <v>15046.416000000001</v>
      </c>
      <c r="T25" s="43">
        <f t="shared" si="14"/>
        <v>91000</v>
      </c>
      <c r="U25" s="7">
        <v>0</v>
      </c>
      <c r="V25" s="7">
        <f t="shared" si="37"/>
        <v>2022</v>
      </c>
      <c r="W25" s="7">
        <v>3</v>
      </c>
      <c r="X25" s="7">
        <f t="shared" si="38"/>
        <v>2025</v>
      </c>
      <c r="Y25" s="58" t="s">
        <v>129</v>
      </c>
      <c r="Z25" s="58"/>
      <c r="AA25" s="14"/>
      <c r="AB25" s="14"/>
    </row>
    <row r="26" spans="1:28" ht="30" x14ac:dyDescent="0.25">
      <c r="A26" s="14" t="s">
        <v>383</v>
      </c>
      <c r="B26" s="14" t="s">
        <v>107</v>
      </c>
      <c r="C26" s="14" t="s">
        <v>108</v>
      </c>
      <c r="D26" s="78" t="s">
        <v>18</v>
      </c>
      <c r="E26" s="4" t="s">
        <v>19</v>
      </c>
      <c r="F26" s="11" t="s">
        <v>357</v>
      </c>
      <c r="G26" s="14" t="s">
        <v>110</v>
      </c>
      <c r="H26" s="35">
        <f>Demolition</f>
        <v>140</v>
      </c>
      <c r="I26" s="45">
        <v>6125</v>
      </c>
      <c r="J26" s="39">
        <f t="shared" si="0"/>
        <v>857500</v>
      </c>
      <c r="K26" s="43">
        <f t="shared" si="1"/>
        <v>171500</v>
      </c>
      <c r="L26" s="43">
        <f t="shared" si="2"/>
        <v>154350</v>
      </c>
      <c r="M26" s="6">
        <f t="shared" si="9"/>
        <v>0.1</v>
      </c>
      <c r="N26" s="43">
        <f t="shared" si="11"/>
        <v>118335</v>
      </c>
      <c r="O26" s="5">
        <v>0.1</v>
      </c>
      <c r="P26" s="5">
        <f t="shared" si="4"/>
        <v>0.02</v>
      </c>
      <c r="Q26" s="5">
        <f t="shared" si="4"/>
        <v>0.06</v>
      </c>
      <c r="R26" s="43">
        <f t="shared" si="12"/>
        <v>234303.3</v>
      </c>
      <c r="S26" s="43">
        <f t="shared" si="13"/>
        <v>307197.66000000003</v>
      </c>
      <c r="T26" s="43">
        <f t="shared" si="14"/>
        <v>1844000</v>
      </c>
      <c r="U26" s="7">
        <v>0</v>
      </c>
      <c r="V26" s="7">
        <f t="shared" si="15"/>
        <v>2022</v>
      </c>
      <c r="W26" s="7">
        <v>1</v>
      </c>
      <c r="X26" s="7">
        <f t="shared" ref="X26:X27" si="39">W26+V26</f>
        <v>2023</v>
      </c>
      <c r="Y26" s="58"/>
      <c r="Z26" s="58"/>
      <c r="AA26" s="14"/>
      <c r="AB26" s="14"/>
    </row>
    <row r="27" spans="1:28" ht="17.25" x14ac:dyDescent="0.25">
      <c r="A27" s="14" t="s">
        <v>417</v>
      </c>
      <c r="B27" s="14" t="s">
        <v>107</v>
      </c>
      <c r="C27" s="14" t="s">
        <v>108</v>
      </c>
      <c r="D27" s="78" t="s">
        <v>20</v>
      </c>
      <c r="E27" s="4" t="s">
        <v>21</v>
      </c>
      <c r="F27" s="11" t="s">
        <v>374</v>
      </c>
      <c r="G27" s="14" t="s">
        <v>110</v>
      </c>
      <c r="H27" s="35">
        <f>Demolition</f>
        <v>140</v>
      </c>
      <c r="I27" s="45">
        <v>1300</v>
      </c>
      <c r="J27" s="39">
        <f t="shared" si="0"/>
        <v>182000</v>
      </c>
      <c r="K27" s="43">
        <f t="shared" si="1"/>
        <v>36400</v>
      </c>
      <c r="L27" s="43">
        <f t="shared" si="2"/>
        <v>32760</v>
      </c>
      <c r="M27" s="6">
        <f t="shared" si="9"/>
        <v>0.1</v>
      </c>
      <c r="N27" s="43">
        <f t="shared" si="11"/>
        <v>25116</v>
      </c>
      <c r="O27" s="5">
        <v>0.1</v>
      </c>
      <c r="P27" s="5">
        <f t="shared" si="4"/>
        <v>0.02</v>
      </c>
      <c r="Q27" s="5">
        <f t="shared" si="4"/>
        <v>0.06</v>
      </c>
      <c r="R27" s="43">
        <f t="shared" ref="R27" si="40">SUM($O27:$Q27)*SUM($J27:$L27,N27)</f>
        <v>49729.68</v>
      </c>
      <c r="S27" s="43">
        <f t="shared" ref="S27" si="41">SUM(R27,$J27:$L27,$N27)*S$1</f>
        <v>65201.135999999999</v>
      </c>
      <c r="T27" s="43">
        <f t="shared" si="14"/>
        <v>392000</v>
      </c>
      <c r="U27" s="7">
        <v>10</v>
      </c>
      <c r="V27" s="7">
        <f t="shared" si="15"/>
        <v>2032</v>
      </c>
      <c r="W27" s="7">
        <v>1</v>
      </c>
      <c r="X27" s="7">
        <f t="shared" si="39"/>
        <v>2033</v>
      </c>
      <c r="Y27" s="58"/>
      <c r="Z27" s="58"/>
      <c r="AA27" s="14"/>
      <c r="AB27" s="14"/>
    </row>
    <row r="28" spans="1:28" ht="30" x14ac:dyDescent="0.25">
      <c r="A28" s="14" t="s">
        <v>384</v>
      </c>
      <c r="B28" s="14" t="s">
        <v>107</v>
      </c>
      <c r="C28" s="14" t="s">
        <v>108</v>
      </c>
      <c r="D28" s="78" t="s">
        <v>355</v>
      </c>
      <c r="E28" s="4" t="s">
        <v>22</v>
      </c>
      <c r="F28" s="11" t="s">
        <v>356</v>
      </c>
      <c r="G28" s="14" t="s">
        <v>110</v>
      </c>
      <c r="H28" s="35">
        <f>Demolition</f>
        <v>140</v>
      </c>
      <c r="I28" s="45">
        <v>2850</v>
      </c>
      <c r="J28" s="39">
        <f t="shared" si="0"/>
        <v>399000</v>
      </c>
      <c r="K28" s="43">
        <f t="shared" si="1"/>
        <v>79800</v>
      </c>
      <c r="L28" s="43">
        <f t="shared" si="2"/>
        <v>71820</v>
      </c>
      <c r="M28" s="6">
        <f t="shared" si="9"/>
        <v>0.1</v>
      </c>
      <c r="N28" s="43">
        <f t="shared" si="11"/>
        <v>55062</v>
      </c>
      <c r="O28" s="5">
        <v>0.1</v>
      </c>
      <c r="P28" s="5">
        <f t="shared" si="4"/>
        <v>0.02</v>
      </c>
      <c r="Q28" s="5">
        <f t="shared" si="4"/>
        <v>0.06</v>
      </c>
      <c r="R28" s="43">
        <f t="shared" ref="R28" si="42">SUM($O28:$Q28)*SUM($J28:$L28,N28)</f>
        <v>109022.76</v>
      </c>
      <c r="S28" s="43">
        <f t="shared" ref="S28" si="43">SUM(R28,$J28:$L28,$N28)*S$1</f>
        <v>142940.95200000002</v>
      </c>
      <c r="T28" s="43">
        <f t="shared" si="14"/>
        <v>858000</v>
      </c>
      <c r="U28" s="7">
        <v>17</v>
      </c>
      <c r="V28" s="7">
        <f t="shared" si="15"/>
        <v>2039</v>
      </c>
      <c r="W28" s="7">
        <v>1</v>
      </c>
      <c r="X28" s="7">
        <f t="shared" ref="X28:X30" si="44">W28+V28</f>
        <v>2040</v>
      </c>
      <c r="Y28" s="58" t="s">
        <v>130</v>
      </c>
      <c r="Z28" s="58"/>
      <c r="AA28" s="14"/>
      <c r="AB28" s="14"/>
    </row>
    <row r="29" spans="1:28" ht="45" x14ac:dyDescent="0.25">
      <c r="A29" s="14" t="s">
        <v>418</v>
      </c>
      <c r="B29" s="14" t="s">
        <v>107</v>
      </c>
      <c r="C29" s="14" t="s">
        <v>108</v>
      </c>
      <c r="D29" s="78" t="s">
        <v>20</v>
      </c>
      <c r="E29" s="14" t="s">
        <v>372</v>
      </c>
      <c r="F29" s="11" t="s">
        <v>373</v>
      </c>
      <c r="G29" s="14" t="s">
        <v>339</v>
      </c>
      <c r="H29" s="35">
        <f>ToiletBlock</f>
        <v>352500</v>
      </c>
      <c r="I29" s="45">
        <v>1</v>
      </c>
      <c r="J29" s="39">
        <f>$I29*$H29</f>
        <v>352500</v>
      </c>
      <c r="K29" s="43">
        <f t="shared" si="1"/>
        <v>70500</v>
      </c>
      <c r="L29" s="43">
        <f t="shared" si="2"/>
        <v>63450</v>
      </c>
      <c r="M29" s="6">
        <f t="shared" si="9"/>
        <v>0.1</v>
      </c>
      <c r="N29" s="43">
        <f t="shared" si="11"/>
        <v>48645</v>
      </c>
      <c r="O29" s="5">
        <v>0.1</v>
      </c>
      <c r="P29" s="5">
        <f t="shared" si="4"/>
        <v>0.02</v>
      </c>
      <c r="Q29" s="5">
        <f t="shared" si="4"/>
        <v>0.06</v>
      </c>
      <c r="R29" s="43">
        <f t="shared" ref="R29" si="45">SUM($O29:$Q29)*SUM($J29:$L29,N29)</f>
        <v>96317.099999999991</v>
      </c>
      <c r="S29" s="43">
        <f t="shared" ref="S29" si="46">SUM(R29,$J29:$L29,$N29)*S$1</f>
        <v>126282.42</v>
      </c>
      <c r="T29" s="43">
        <f t="shared" si="14"/>
        <v>758000</v>
      </c>
      <c r="U29" s="7">
        <v>10</v>
      </c>
      <c r="V29" s="7">
        <f t="shared" si="15"/>
        <v>2032</v>
      </c>
      <c r="W29" s="7">
        <v>1</v>
      </c>
      <c r="X29" s="7">
        <f t="shared" si="44"/>
        <v>2033</v>
      </c>
      <c r="Y29" s="58" t="s">
        <v>131</v>
      </c>
      <c r="Z29" s="58"/>
      <c r="AA29" s="14"/>
      <c r="AB29" s="14"/>
    </row>
    <row r="30" spans="1:28" ht="75" x14ac:dyDescent="0.25">
      <c r="A30" s="14" t="s">
        <v>392</v>
      </c>
      <c r="B30" s="14" t="s">
        <v>107</v>
      </c>
      <c r="C30" s="14" t="s">
        <v>132</v>
      </c>
      <c r="D30" s="78" t="s">
        <v>32</v>
      </c>
      <c r="E30" s="14" t="s">
        <v>33</v>
      </c>
      <c r="F30" s="11" t="s">
        <v>375</v>
      </c>
      <c r="G30" s="14" t="s">
        <v>110</v>
      </c>
      <c r="H30" s="35">
        <f>Pavement_Developed*0.5</f>
        <v>125</v>
      </c>
      <c r="I30" s="45">
        <f>800*20</f>
        <v>16000</v>
      </c>
      <c r="J30" s="39">
        <f t="shared" si="0"/>
        <v>2000000</v>
      </c>
      <c r="K30" s="43">
        <f t="shared" si="1"/>
        <v>400000</v>
      </c>
      <c r="L30" s="43">
        <f t="shared" si="2"/>
        <v>360000</v>
      </c>
      <c r="M30" s="6">
        <f t="shared" si="9"/>
        <v>0.1</v>
      </c>
      <c r="N30" s="43">
        <f t="shared" si="11"/>
        <v>276000</v>
      </c>
      <c r="O30" s="5">
        <f t="shared" ref="O30:O65" si="47">O$1</f>
        <v>0.06</v>
      </c>
      <c r="P30" s="5">
        <f t="shared" si="4"/>
        <v>0.02</v>
      </c>
      <c r="Q30" s="5">
        <f t="shared" si="4"/>
        <v>0.06</v>
      </c>
      <c r="R30" s="43">
        <f t="shared" si="12"/>
        <v>425040.00000000006</v>
      </c>
      <c r="S30" s="43">
        <f t="shared" si="13"/>
        <v>692208</v>
      </c>
      <c r="T30" s="43">
        <f t="shared" si="14"/>
        <v>4154000</v>
      </c>
      <c r="U30" s="7">
        <v>0</v>
      </c>
      <c r="V30" s="7">
        <f t="shared" si="15"/>
        <v>2022</v>
      </c>
      <c r="W30" s="7">
        <v>2</v>
      </c>
      <c r="X30" s="7">
        <f t="shared" si="44"/>
        <v>2024</v>
      </c>
      <c r="Y30" s="58" t="s">
        <v>133</v>
      </c>
      <c r="Z30" s="58"/>
      <c r="AA30" s="14"/>
      <c r="AB30" s="14"/>
    </row>
    <row r="31" spans="1:28" ht="48" customHeight="1" x14ac:dyDescent="0.25">
      <c r="A31" s="14" t="s">
        <v>391</v>
      </c>
      <c r="B31" s="14" t="s">
        <v>107</v>
      </c>
      <c r="C31" s="14" t="s">
        <v>132</v>
      </c>
      <c r="D31" s="78" t="s">
        <v>34</v>
      </c>
      <c r="E31" s="14" t="s">
        <v>35</v>
      </c>
      <c r="F31" s="11" t="s">
        <v>376</v>
      </c>
      <c r="G31" s="14" t="s">
        <v>110</v>
      </c>
      <c r="H31" s="35">
        <f>Pavement_Developed</f>
        <v>250</v>
      </c>
      <c r="I31" s="45">
        <f>30*200</f>
        <v>6000</v>
      </c>
      <c r="J31" s="39">
        <f t="shared" si="0"/>
        <v>1500000</v>
      </c>
      <c r="K31" s="43">
        <f t="shared" si="1"/>
        <v>300000</v>
      </c>
      <c r="L31" s="43">
        <f t="shared" si="2"/>
        <v>270000</v>
      </c>
      <c r="M31" s="6">
        <f t="shared" si="9"/>
        <v>0.1</v>
      </c>
      <c r="N31" s="43">
        <f t="shared" si="11"/>
        <v>207000</v>
      </c>
      <c r="O31" s="5">
        <f t="shared" si="47"/>
        <v>0.06</v>
      </c>
      <c r="P31" s="5">
        <f t="shared" si="4"/>
        <v>0.02</v>
      </c>
      <c r="Q31" s="5">
        <f t="shared" si="4"/>
        <v>0.06</v>
      </c>
      <c r="R31" s="43">
        <f t="shared" si="12"/>
        <v>318780.00000000006</v>
      </c>
      <c r="S31" s="43">
        <f t="shared" si="13"/>
        <v>519156</v>
      </c>
      <c r="T31" s="43">
        <f t="shared" si="14"/>
        <v>3115000</v>
      </c>
      <c r="U31" s="7">
        <v>0</v>
      </c>
      <c r="V31" s="7">
        <f t="shared" si="15"/>
        <v>2022</v>
      </c>
      <c r="W31" s="7">
        <v>3</v>
      </c>
      <c r="X31" s="7">
        <f t="shared" ref="X31:X35" si="48">W31+V31</f>
        <v>2025</v>
      </c>
      <c r="Y31" s="58"/>
      <c r="Z31" s="58"/>
      <c r="AA31" s="14"/>
      <c r="AB31" s="14"/>
    </row>
    <row r="32" spans="1:28" ht="60.6" customHeight="1" x14ac:dyDescent="0.25">
      <c r="A32" s="14" t="s">
        <v>385</v>
      </c>
      <c r="B32" s="14" t="s">
        <v>107</v>
      </c>
      <c r="C32" s="14" t="s">
        <v>132</v>
      </c>
      <c r="D32" s="78" t="s">
        <v>36</v>
      </c>
      <c r="E32" s="14" t="s">
        <v>37</v>
      </c>
      <c r="F32" s="11" t="s">
        <v>365</v>
      </c>
      <c r="G32" s="14" t="s">
        <v>110</v>
      </c>
      <c r="H32" s="35">
        <f>Carriageway*0.75</f>
        <v>1297.5</v>
      </c>
      <c r="I32" s="45">
        <v>500</v>
      </c>
      <c r="J32" s="39">
        <f t="shared" si="0"/>
        <v>648750</v>
      </c>
      <c r="K32" s="43">
        <f t="shared" si="1"/>
        <v>129750</v>
      </c>
      <c r="L32" s="43">
        <f t="shared" si="2"/>
        <v>116775</v>
      </c>
      <c r="M32" s="6">
        <f t="shared" si="9"/>
        <v>0.1</v>
      </c>
      <c r="N32" s="43">
        <f t="shared" si="11"/>
        <v>89527.5</v>
      </c>
      <c r="O32" s="5">
        <f t="shared" si="47"/>
        <v>0.06</v>
      </c>
      <c r="P32" s="5">
        <f t="shared" si="4"/>
        <v>0.02</v>
      </c>
      <c r="Q32" s="5">
        <f t="shared" si="4"/>
        <v>0.06</v>
      </c>
      <c r="R32" s="43">
        <f t="shared" si="12"/>
        <v>137872.35</v>
      </c>
      <c r="S32" s="43">
        <f t="shared" si="13"/>
        <v>224534.97000000003</v>
      </c>
      <c r="T32" s="43">
        <f t="shared" si="14"/>
        <v>1348000</v>
      </c>
      <c r="U32" s="7">
        <v>0</v>
      </c>
      <c r="V32" s="7">
        <f t="shared" ref="V32" si="49">$V$1+U32</f>
        <v>2022</v>
      </c>
      <c r="W32" s="7">
        <v>3</v>
      </c>
      <c r="X32" s="7">
        <f t="shared" si="48"/>
        <v>2025</v>
      </c>
      <c r="Y32" s="58" t="s">
        <v>134</v>
      </c>
      <c r="Z32" s="58"/>
      <c r="AA32" s="14"/>
      <c r="AB32" s="14"/>
    </row>
    <row r="33" spans="1:28" ht="80.099999999999994" customHeight="1" x14ac:dyDescent="0.25">
      <c r="A33" s="14" t="s">
        <v>393</v>
      </c>
      <c r="B33" s="14" t="s">
        <v>107</v>
      </c>
      <c r="C33" s="14" t="s">
        <v>132</v>
      </c>
      <c r="D33" s="78" t="s">
        <v>32</v>
      </c>
      <c r="E33" s="14" t="s">
        <v>38</v>
      </c>
      <c r="F33" s="11" t="s">
        <v>330</v>
      </c>
      <c r="G33" s="14" t="s">
        <v>110</v>
      </c>
      <c r="H33" s="35">
        <f>Pavement_Developed+0.5*(RemovePavement)+LandDevelopment_halfmetredeep</f>
        <v>385.5</v>
      </c>
      <c r="I33" s="45">
        <f>800*20*2</f>
        <v>32000</v>
      </c>
      <c r="J33" s="39">
        <f t="shared" si="0"/>
        <v>12336000</v>
      </c>
      <c r="K33" s="43">
        <f t="shared" si="1"/>
        <v>2467200</v>
      </c>
      <c r="L33" s="43">
        <f t="shared" si="2"/>
        <v>2220480</v>
      </c>
      <c r="M33" s="6">
        <f t="shared" si="9"/>
        <v>0.1</v>
      </c>
      <c r="N33" s="43">
        <f t="shared" si="11"/>
        <v>1702368</v>
      </c>
      <c r="O33" s="5">
        <f t="shared" si="47"/>
        <v>0.06</v>
      </c>
      <c r="P33" s="5">
        <f t="shared" si="4"/>
        <v>0.02</v>
      </c>
      <c r="Q33" s="5">
        <f t="shared" si="4"/>
        <v>0.06</v>
      </c>
      <c r="R33" s="43">
        <f t="shared" ref="R33" si="50">SUM($O33:$Q33)*SUM($J33:$L33,N33)</f>
        <v>2621646.7200000002</v>
      </c>
      <c r="S33" s="43">
        <f t="shared" si="13"/>
        <v>4269538.9440000001</v>
      </c>
      <c r="T33" s="43">
        <f t="shared" si="14"/>
        <v>25618000</v>
      </c>
      <c r="U33" s="7">
        <v>5</v>
      </c>
      <c r="V33" s="7">
        <f t="shared" ref="V33:V35" si="51">$V$1+U33</f>
        <v>2027</v>
      </c>
      <c r="W33" s="7">
        <v>2</v>
      </c>
      <c r="X33" s="7">
        <f t="shared" si="48"/>
        <v>2029</v>
      </c>
      <c r="Y33" s="58" t="s">
        <v>135</v>
      </c>
      <c r="Z33" s="58"/>
      <c r="AA33" s="14"/>
      <c r="AB33" s="14"/>
    </row>
    <row r="34" spans="1:28" ht="45" x14ac:dyDescent="0.25">
      <c r="A34" s="14" t="s">
        <v>388</v>
      </c>
      <c r="B34" s="14" t="s">
        <v>107</v>
      </c>
      <c r="C34" s="14" t="s">
        <v>132</v>
      </c>
      <c r="D34" s="78" t="s">
        <v>31</v>
      </c>
      <c r="E34" s="4" t="s">
        <v>23</v>
      </c>
      <c r="F34" s="11" t="s">
        <v>369</v>
      </c>
      <c r="G34" s="14" t="s">
        <v>110</v>
      </c>
      <c r="H34" s="35">
        <f>RemovePavement</f>
        <v>131</v>
      </c>
      <c r="I34" s="45">
        <f>800*20</f>
        <v>16000</v>
      </c>
      <c r="J34" s="39">
        <f t="shared" si="0"/>
        <v>2096000</v>
      </c>
      <c r="K34" s="43">
        <f t="shared" si="1"/>
        <v>419200</v>
      </c>
      <c r="L34" s="43">
        <f t="shared" si="2"/>
        <v>377280</v>
      </c>
      <c r="M34" s="6">
        <f t="shared" si="9"/>
        <v>0.1</v>
      </c>
      <c r="N34" s="43">
        <f t="shared" si="11"/>
        <v>289248</v>
      </c>
      <c r="O34" s="5">
        <v>0.1</v>
      </c>
      <c r="P34" s="5">
        <f t="shared" si="4"/>
        <v>0.02</v>
      </c>
      <c r="Q34" s="5">
        <f t="shared" si="4"/>
        <v>0.06</v>
      </c>
      <c r="R34" s="43">
        <f t="shared" ref="R34" si="52">SUM($O34:$Q34)*SUM($J34:$L34,N34)</f>
        <v>572711.03999999992</v>
      </c>
      <c r="S34" s="43">
        <f t="shared" si="13"/>
        <v>750887.80800000008</v>
      </c>
      <c r="T34" s="43">
        <f t="shared" si="14"/>
        <v>4506000</v>
      </c>
      <c r="U34" s="7">
        <v>2</v>
      </c>
      <c r="V34" s="7">
        <f t="shared" si="51"/>
        <v>2024</v>
      </c>
      <c r="W34" s="7">
        <v>1</v>
      </c>
      <c r="X34" s="7">
        <f t="shared" si="48"/>
        <v>2025</v>
      </c>
      <c r="Y34" s="58" t="s">
        <v>136</v>
      </c>
      <c r="Z34" s="58"/>
      <c r="AA34" s="14"/>
      <c r="AB34" s="14"/>
    </row>
    <row r="35" spans="1:28" ht="41.1" customHeight="1" x14ac:dyDescent="0.25">
      <c r="A35" s="14" t="s">
        <v>386</v>
      </c>
      <c r="B35" s="14" t="s">
        <v>107</v>
      </c>
      <c r="C35" s="14" t="s">
        <v>132</v>
      </c>
      <c r="D35" s="78" t="s">
        <v>18</v>
      </c>
      <c r="E35" s="4" t="s">
        <v>371</v>
      </c>
      <c r="F35" s="11" t="s">
        <v>370</v>
      </c>
      <c r="G35" s="14" t="s">
        <v>110</v>
      </c>
      <c r="H35" s="35">
        <f>RemovePavement</f>
        <v>131</v>
      </c>
      <c r="I35" s="45">
        <v>5700</v>
      </c>
      <c r="J35" s="39">
        <f t="shared" si="0"/>
        <v>746700</v>
      </c>
      <c r="K35" s="43">
        <f t="shared" si="1"/>
        <v>149340</v>
      </c>
      <c r="L35" s="43">
        <f t="shared" si="2"/>
        <v>134406</v>
      </c>
      <c r="M35" s="6">
        <f t="shared" si="9"/>
        <v>0.1</v>
      </c>
      <c r="N35" s="43">
        <f t="shared" si="11"/>
        <v>103044.6</v>
      </c>
      <c r="O35" s="5">
        <v>0.1</v>
      </c>
      <c r="P35" s="5">
        <f t="shared" si="4"/>
        <v>0.02</v>
      </c>
      <c r="Q35" s="5">
        <f t="shared" si="4"/>
        <v>0.06</v>
      </c>
      <c r="R35" s="43">
        <f t="shared" ref="R35" si="53">SUM($O35:$Q35)*SUM($J35:$L35,N35)</f>
        <v>204028.30800000002</v>
      </c>
      <c r="S35" s="43">
        <f t="shared" ref="S35:S36" si="54">SUM(R35,$J35:$L35,$N35)*S$1</f>
        <v>267503.78160000005</v>
      </c>
      <c r="T35" s="43">
        <f t="shared" si="14"/>
        <v>1606000</v>
      </c>
      <c r="U35" s="7">
        <v>2</v>
      </c>
      <c r="V35" s="7">
        <f t="shared" si="51"/>
        <v>2024</v>
      </c>
      <c r="W35" s="7">
        <v>1</v>
      </c>
      <c r="X35" s="7">
        <f t="shared" si="48"/>
        <v>2025</v>
      </c>
      <c r="Y35" s="58" t="s">
        <v>136</v>
      </c>
      <c r="Z35" s="58"/>
      <c r="AA35" s="14"/>
      <c r="AB35" s="14"/>
    </row>
    <row r="36" spans="1:28" ht="42.6" customHeight="1" x14ac:dyDescent="0.25">
      <c r="A36" s="14" t="s">
        <v>387</v>
      </c>
      <c r="B36" s="14" t="s">
        <v>107</v>
      </c>
      <c r="C36" s="14" t="s">
        <v>137</v>
      </c>
      <c r="D36" s="78" t="s">
        <v>18</v>
      </c>
      <c r="E36" s="4" t="s">
        <v>26</v>
      </c>
      <c r="F36" s="11" t="s">
        <v>366</v>
      </c>
      <c r="G36" s="14" t="s">
        <v>110</v>
      </c>
      <c r="H36" s="79">
        <f>Premiere_Landscaping</f>
        <v>250</v>
      </c>
      <c r="I36" s="45">
        <v>10000</v>
      </c>
      <c r="J36" s="39">
        <f>$I36*$H36</f>
        <v>2500000</v>
      </c>
      <c r="K36" s="43">
        <f t="shared" si="1"/>
        <v>500000</v>
      </c>
      <c r="L36" s="43">
        <f t="shared" si="2"/>
        <v>450000</v>
      </c>
      <c r="M36" s="6">
        <f t="shared" si="9"/>
        <v>0.1</v>
      </c>
      <c r="N36" s="43">
        <f t="shared" si="11"/>
        <v>345000</v>
      </c>
      <c r="O36" s="5">
        <v>0.06</v>
      </c>
      <c r="P36" s="5">
        <f t="shared" si="4"/>
        <v>0.02</v>
      </c>
      <c r="Q36" s="5">
        <f t="shared" si="4"/>
        <v>0.06</v>
      </c>
      <c r="R36" s="43">
        <f t="shared" ref="R36" si="55">SUM($O36:$Q36)*SUM($J36:$L36,N36)</f>
        <v>531300</v>
      </c>
      <c r="S36" s="43">
        <f t="shared" si="54"/>
        <v>865260</v>
      </c>
      <c r="T36" s="43">
        <f t="shared" si="14"/>
        <v>5192000</v>
      </c>
      <c r="U36" s="7"/>
      <c r="V36" s="7"/>
      <c r="W36" s="7"/>
      <c r="X36" s="7"/>
      <c r="Y36" s="58"/>
      <c r="Z36" s="58"/>
      <c r="AA36" s="14"/>
      <c r="AB36" s="14"/>
    </row>
    <row r="37" spans="1:28" ht="30" x14ac:dyDescent="0.25">
      <c r="A37" s="14" t="s">
        <v>397</v>
      </c>
      <c r="B37" s="14" t="s">
        <v>107</v>
      </c>
      <c r="C37" s="14" t="s">
        <v>132</v>
      </c>
      <c r="D37" s="78" t="s">
        <v>79</v>
      </c>
      <c r="E37" s="4" t="s">
        <v>80</v>
      </c>
      <c r="F37" s="11" t="s">
        <v>399</v>
      </c>
      <c r="G37" s="14" t="s">
        <v>339</v>
      </c>
      <c r="H37" s="35">
        <f>H38</f>
        <v>750000</v>
      </c>
      <c r="I37" s="45">
        <f>SUM(I38:I39)</f>
        <v>12</v>
      </c>
      <c r="J37" s="39"/>
      <c r="K37" s="43"/>
      <c r="L37" s="43"/>
      <c r="M37" s="6"/>
      <c r="N37" s="43"/>
      <c r="O37" s="5"/>
      <c r="P37" s="5"/>
      <c r="Q37" s="5"/>
      <c r="R37" s="43"/>
      <c r="S37" s="43"/>
      <c r="T37" s="43">
        <f>SUM(T38:T39)</f>
        <v>10908000</v>
      </c>
      <c r="U37" s="7"/>
      <c r="V37" s="7"/>
      <c r="W37" s="7"/>
      <c r="X37" s="7"/>
      <c r="Y37" s="58"/>
      <c r="Z37" s="58"/>
      <c r="AA37" s="14"/>
      <c r="AB37" s="14"/>
    </row>
    <row r="38" spans="1:28" ht="45" x14ac:dyDescent="0.25">
      <c r="A38" s="56"/>
      <c r="B38" s="56" t="s">
        <v>107</v>
      </c>
      <c r="C38" s="56" t="s">
        <v>132</v>
      </c>
      <c r="D38" s="56" t="s">
        <v>79</v>
      </c>
      <c r="E38" s="56" t="s">
        <v>138</v>
      </c>
      <c r="F38" s="57" t="s">
        <v>398</v>
      </c>
      <c r="G38" s="14" t="s">
        <v>339</v>
      </c>
      <c r="H38" s="35">
        <f>Transport_Shuttles</f>
        <v>750000</v>
      </c>
      <c r="I38" s="45">
        <f>12*0.75</f>
        <v>9</v>
      </c>
      <c r="J38" s="39">
        <f t="shared" si="0"/>
        <v>6750000</v>
      </c>
      <c r="K38" s="48">
        <v>0</v>
      </c>
      <c r="L38" s="48">
        <v>0</v>
      </c>
      <c r="M38" s="6">
        <v>0</v>
      </c>
      <c r="N38" s="48">
        <f>SUM($J38:$L38)*$M38</f>
        <v>0</v>
      </c>
      <c r="O38" s="49">
        <v>0</v>
      </c>
      <c r="P38" s="49">
        <v>0.01</v>
      </c>
      <c r="Q38" s="49">
        <v>0</v>
      </c>
      <c r="R38" s="43">
        <f t="shared" ref="R38" si="56">SUM($O38:$Q38)*SUM($J38:$L38,N38)</f>
        <v>67500</v>
      </c>
      <c r="S38" s="43">
        <f t="shared" ref="S38" si="57">SUM(R38,$J38:$L38,$N38)*S$1</f>
        <v>1363500</v>
      </c>
      <c r="T38" s="43">
        <f t="shared" si="14"/>
        <v>8181000</v>
      </c>
      <c r="U38" s="7">
        <v>3</v>
      </c>
      <c r="V38" s="7">
        <f>U38+$V$1</f>
        <v>2025</v>
      </c>
      <c r="W38" s="7">
        <v>0</v>
      </c>
      <c r="X38" s="7">
        <f>W38+V38</f>
        <v>2025</v>
      </c>
      <c r="Y38" s="58" t="s">
        <v>139</v>
      </c>
      <c r="Z38" s="58"/>
      <c r="AA38" s="14"/>
      <c r="AB38" s="14"/>
    </row>
    <row r="39" spans="1:28" ht="30" x14ac:dyDescent="0.25">
      <c r="A39" s="56"/>
      <c r="B39" s="56" t="s">
        <v>107</v>
      </c>
      <c r="C39" s="56" t="s">
        <v>132</v>
      </c>
      <c r="D39" s="56" t="s">
        <v>79</v>
      </c>
      <c r="E39" s="56" t="s">
        <v>138</v>
      </c>
      <c r="F39" s="57" t="s">
        <v>140</v>
      </c>
      <c r="G39" s="14" t="s">
        <v>339</v>
      </c>
      <c r="H39" s="35">
        <f>Transport_Shuttles</f>
        <v>750000</v>
      </c>
      <c r="I39" s="45">
        <f>12*0.25</f>
        <v>3</v>
      </c>
      <c r="J39" s="39">
        <f t="shared" si="0"/>
        <v>2250000</v>
      </c>
      <c r="K39" s="48">
        <v>0</v>
      </c>
      <c r="L39" s="48">
        <v>0</v>
      </c>
      <c r="M39" s="6">
        <v>0</v>
      </c>
      <c r="N39" s="48">
        <f>SUM($J39:$L39)*$M39</f>
        <v>0</v>
      </c>
      <c r="O39" s="49">
        <v>0</v>
      </c>
      <c r="P39" s="49">
        <v>0.01</v>
      </c>
      <c r="Q39" s="49">
        <v>0</v>
      </c>
      <c r="R39" s="43">
        <f t="shared" ref="R39" si="58">SUM($O39:$Q39)*SUM($J39:$L39,N39)</f>
        <v>22500</v>
      </c>
      <c r="S39" s="43">
        <f t="shared" ref="S39" si="59">SUM(R39,$J39:$L39,$N39)*S$1</f>
        <v>454500</v>
      </c>
      <c r="T39" s="43">
        <f t="shared" si="14"/>
        <v>2727000</v>
      </c>
      <c r="U39" s="7">
        <v>15</v>
      </c>
      <c r="V39" s="7">
        <f>U39+$V$1</f>
        <v>2037</v>
      </c>
      <c r="W39" s="7">
        <v>1</v>
      </c>
      <c r="X39" s="7">
        <f>W39+V39</f>
        <v>2038</v>
      </c>
      <c r="Y39" s="58" t="s">
        <v>141</v>
      </c>
      <c r="Z39" s="58"/>
      <c r="AA39" s="14"/>
      <c r="AB39" s="14"/>
    </row>
    <row r="40" spans="1:28" ht="60" x14ac:dyDescent="0.25">
      <c r="A40" s="14" t="s">
        <v>396</v>
      </c>
      <c r="B40" s="14" t="s">
        <v>107</v>
      </c>
      <c r="C40" s="14" t="s">
        <v>132</v>
      </c>
      <c r="D40" s="78" t="s">
        <v>39</v>
      </c>
      <c r="E40" s="14" t="s">
        <v>40</v>
      </c>
      <c r="F40" s="11" t="s">
        <v>395</v>
      </c>
      <c r="G40" s="14"/>
      <c r="H40" s="35"/>
      <c r="I40" s="45"/>
      <c r="J40" s="39"/>
      <c r="K40" s="48"/>
      <c r="L40" s="48"/>
      <c r="M40" s="6"/>
      <c r="N40" s="48"/>
      <c r="O40" s="49"/>
      <c r="P40" s="49"/>
      <c r="Q40" s="49"/>
      <c r="R40" s="43"/>
      <c r="S40" s="43"/>
      <c r="T40" s="43">
        <f>SUM(T41:T44)</f>
        <v>4571000</v>
      </c>
      <c r="U40" s="7"/>
      <c r="V40" s="7"/>
      <c r="W40" s="7"/>
      <c r="X40" s="7"/>
      <c r="Y40" s="58"/>
      <c r="Z40" s="58"/>
      <c r="AA40" s="14"/>
      <c r="AB40" s="14"/>
    </row>
    <row r="41" spans="1:28" ht="27.6" customHeight="1" x14ac:dyDescent="0.25">
      <c r="A41" s="56"/>
      <c r="B41" s="56" t="s">
        <v>107</v>
      </c>
      <c r="C41" s="56" t="s">
        <v>132</v>
      </c>
      <c r="D41" s="56" t="s">
        <v>39</v>
      </c>
      <c r="E41" s="56" t="s">
        <v>142</v>
      </c>
      <c r="F41" s="57" t="s">
        <v>394</v>
      </c>
      <c r="G41" s="56" t="s">
        <v>110</v>
      </c>
      <c r="H41" s="35">
        <f>Metalled_Pavement</f>
        <v>190</v>
      </c>
      <c r="I41" s="45">
        <f>1500+80*SUM(I38,I39)</f>
        <v>2460</v>
      </c>
      <c r="J41" s="39">
        <f t="shared" si="0"/>
        <v>467400</v>
      </c>
      <c r="K41" s="43">
        <f t="shared" si="1"/>
        <v>93480</v>
      </c>
      <c r="L41" s="43">
        <f t="shared" si="2"/>
        <v>84132</v>
      </c>
      <c r="M41" s="6">
        <f t="shared" si="9"/>
        <v>0.1</v>
      </c>
      <c r="N41" s="43">
        <f t="shared" si="11"/>
        <v>64501.200000000004</v>
      </c>
      <c r="O41" s="5">
        <f t="shared" si="47"/>
        <v>0.06</v>
      </c>
      <c r="P41" s="5">
        <f t="shared" si="4"/>
        <v>0.02</v>
      </c>
      <c r="Q41" s="5">
        <f t="shared" si="4"/>
        <v>0.06</v>
      </c>
      <c r="R41" s="43">
        <f t="shared" ref="R41" si="60">SUM($O41:$Q41)*SUM($J41:$L41,N41)</f>
        <v>99331.847999999998</v>
      </c>
      <c r="S41" s="43">
        <f t="shared" ref="S41" si="61">SUM(R41,$J41:$L41,$N41)*S$1</f>
        <v>161769.00959999999</v>
      </c>
      <c r="T41" s="43">
        <f t="shared" si="14"/>
        <v>971000</v>
      </c>
      <c r="U41" s="7">
        <v>0</v>
      </c>
      <c r="V41" s="7">
        <f t="shared" ref="V41:V44" si="62">$V$1+U41</f>
        <v>2022</v>
      </c>
      <c r="W41" s="7">
        <v>3</v>
      </c>
      <c r="X41" s="7">
        <f t="shared" ref="X41:X44" si="63">W41+V41</f>
        <v>2025</v>
      </c>
      <c r="Y41" s="58" t="s">
        <v>112</v>
      </c>
      <c r="Z41" s="58"/>
      <c r="AA41" s="14"/>
      <c r="AB41" s="14"/>
    </row>
    <row r="42" spans="1:28" ht="17.25" x14ac:dyDescent="0.25">
      <c r="A42" s="56"/>
      <c r="B42" s="56" t="s">
        <v>107</v>
      </c>
      <c r="C42" s="56" t="s">
        <v>132</v>
      </c>
      <c r="D42" s="56" t="s">
        <v>39</v>
      </c>
      <c r="E42" s="56" t="s">
        <v>142</v>
      </c>
      <c r="F42" s="57" t="s">
        <v>144</v>
      </c>
      <c r="G42" s="56" t="s">
        <v>110</v>
      </c>
      <c r="H42" s="35">
        <f>Motel_2star</f>
        <v>3600</v>
      </c>
      <c r="I42" s="45">
        <v>400</v>
      </c>
      <c r="J42" s="39">
        <f t="shared" si="0"/>
        <v>1440000</v>
      </c>
      <c r="K42" s="43">
        <f t="shared" si="1"/>
        <v>288000</v>
      </c>
      <c r="L42" s="43">
        <f t="shared" si="2"/>
        <v>259200</v>
      </c>
      <c r="M42" s="6">
        <f t="shared" si="9"/>
        <v>0.1</v>
      </c>
      <c r="N42" s="43">
        <f t="shared" si="11"/>
        <v>198720</v>
      </c>
      <c r="O42" s="5">
        <v>0.1</v>
      </c>
      <c r="P42" s="5">
        <f t="shared" si="4"/>
        <v>0.02</v>
      </c>
      <c r="Q42" s="5">
        <f t="shared" si="4"/>
        <v>0.06</v>
      </c>
      <c r="R42" s="43">
        <f t="shared" ref="R42:R44" si="64">SUM($O42:$Q42)*SUM($J42:$L42,N42)</f>
        <v>393465.59999999998</v>
      </c>
      <c r="S42" s="43">
        <f t="shared" ref="S42:S44" si="65">SUM(R42,$J42:$L42,$N42)*S$1</f>
        <v>515877.12000000005</v>
      </c>
      <c r="T42" s="43">
        <f t="shared" si="14"/>
        <v>3096000</v>
      </c>
      <c r="U42" s="7">
        <v>0</v>
      </c>
      <c r="V42" s="7">
        <f t="shared" si="62"/>
        <v>2022</v>
      </c>
      <c r="W42" s="7">
        <v>3</v>
      </c>
      <c r="X42" s="7">
        <f t="shared" si="63"/>
        <v>2025</v>
      </c>
      <c r="Y42" s="58" t="s">
        <v>112</v>
      </c>
      <c r="Z42" s="58"/>
      <c r="AA42" s="14"/>
      <c r="AB42" s="14"/>
    </row>
    <row r="43" spans="1:28" x14ac:dyDescent="0.25">
      <c r="A43" s="56"/>
      <c r="B43" s="56" t="s">
        <v>107</v>
      </c>
      <c r="C43" s="56" t="s">
        <v>132</v>
      </c>
      <c r="D43" s="56" t="s">
        <v>39</v>
      </c>
      <c r="E43" s="56" t="s">
        <v>145</v>
      </c>
      <c r="F43" s="57" t="s">
        <v>146</v>
      </c>
      <c r="G43" s="56" t="s">
        <v>339</v>
      </c>
      <c r="H43" s="35">
        <f>Generator</f>
        <v>116840</v>
      </c>
      <c r="I43" s="45">
        <v>1</v>
      </c>
      <c r="J43" s="39">
        <f t="shared" si="0"/>
        <v>116840</v>
      </c>
      <c r="K43" s="43">
        <f t="shared" si="1"/>
        <v>23368</v>
      </c>
      <c r="L43" s="43">
        <f t="shared" si="2"/>
        <v>21031.200000000001</v>
      </c>
      <c r="M43" s="6">
        <f t="shared" si="9"/>
        <v>0.1</v>
      </c>
      <c r="N43" s="43">
        <f t="shared" si="11"/>
        <v>16123.920000000002</v>
      </c>
      <c r="O43" s="5">
        <f t="shared" ref="O43:O44" si="66">O$1</f>
        <v>0.06</v>
      </c>
      <c r="P43" s="5">
        <f t="shared" si="4"/>
        <v>0.02</v>
      </c>
      <c r="Q43" s="5">
        <f t="shared" si="4"/>
        <v>0.06</v>
      </c>
      <c r="R43" s="43">
        <f t="shared" si="64"/>
        <v>24830.836800000005</v>
      </c>
      <c r="S43" s="43">
        <f t="shared" si="65"/>
        <v>40438.791360000003</v>
      </c>
      <c r="T43" s="43">
        <f t="shared" si="14"/>
        <v>243000</v>
      </c>
      <c r="U43" s="7">
        <v>2</v>
      </c>
      <c r="V43" s="7">
        <f t="shared" si="62"/>
        <v>2024</v>
      </c>
      <c r="W43" s="7">
        <v>1</v>
      </c>
      <c r="X43" s="7">
        <f t="shared" si="63"/>
        <v>2025</v>
      </c>
      <c r="Y43" s="58"/>
      <c r="Z43" s="58"/>
      <c r="AA43" s="14"/>
      <c r="AB43" s="14"/>
    </row>
    <row r="44" spans="1:28" x14ac:dyDescent="0.25">
      <c r="A44" s="56"/>
      <c r="B44" s="56" t="s">
        <v>107</v>
      </c>
      <c r="C44" s="56" t="s">
        <v>132</v>
      </c>
      <c r="D44" s="56" t="s">
        <v>39</v>
      </c>
      <c r="E44" s="56" t="s">
        <v>147</v>
      </c>
      <c r="F44" s="57" t="s">
        <v>148</v>
      </c>
      <c r="G44" s="56" t="s">
        <v>339</v>
      </c>
      <c r="H44" s="35">
        <f>Transformer</f>
        <v>125250</v>
      </c>
      <c r="I44" s="45">
        <v>1</v>
      </c>
      <c r="J44" s="39">
        <f t="shared" si="0"/>
        <v>125250</v>
      </c>
      <c r="K44" s="43">
        <f t="shared" si="1"/>
        <v>25050</v>
      </c>
      <c r="L44" s="43">
        <f t="shared" si="2"/>
        <v>22545</v>
      </c>
      <c r="M44" s="6">
        <f t="shared" si="9"/>
        <v>0.1</v>
      </c>
      <c r="N44" s="43">
        <f t="shared" si="11"/>
        <v>17284.5</v>
      </c>
      <c r="O44" s="5">
        <f t="shared" si="66"/>
        <v>0.06</v>
      </c>
      <c r="P44" s="5">
        <f t="shared" si="4"/>
        <v>0.02</v>
      </c>
      <c r="Q44" s="5">
        <f t="shared" si="4"/>
        <v>0.06</v>
      </c>
      <c r="R44" s="43">
        <f t="shared" si="64"/>
        <v>26618.13</v>
      </c>
      <c r="S44" s="43">
        <f t="shared" si="65"/>
        <v>43349.526000000005</v>
      </c>
      <c r="T44" s="43">
        <f t="shared" si="14"/>
        <v>261000</v>
      </c>
      <c r="U44" s="7">
        <v>2</v>
      </c>
      <c r="V44" s="7">
        <f t="shared" si="62"/>
        <v>2024</v>
      </c>
      <c r="W44" s="7">
        <v>1</v>
      </c>
      <c r="X44" s="7">
        <f t="shared" si="63"/>
        <v>2025</v>
      </c>
      <c r="Y44" s="58"/>
      <c r="Z44" s="58"/>
      <c r="AA44" s="14"/>
      <c r="AB44" s="14"/>
    </row>
    <row r="45" spans="1:28" ht="75" x14ac:dyDescent="0.25">
      <c r="A45" s="14" t="s">
        <v>389</v>
      </c>
      <c r="B45" s="14" t="s">
        <v>107</v>
      </c>
      <c r="C45" s="14" t="s">
        <v>149</v>
      </c>
      <c r="D45" s="78" t="s">
        <v>41</v>
      </c>
      <c r="E45" s="14" t="s">
        <v>420</v>
      </c>
      <c r="F45" s="11" t="s">
        <v>422</v>
      </c>
      <c r="G45" s="14"/>
      <c r="H45" s="35"/>
      <c r="I45" s="45"/>
      <c r="J45" s="39"/>
      <c r="K45" s="43"/>
      <c r="L45" s="43"/>
      <c r="M45" s="6"/>
      <c r="N45" s="43"/>
      <c r="O45" s="5"/>
      <c r="P45" s="5"/>
      <c r="Q45" s="5"/>
      <c r="R45" s="43"/>
      <c r="S45" s="43"/>
      <c r="T45" s="43">
        <f>SUM(T46:T48)</f>
        <v>2250000</v>
      </c>
      <c r="U45" s="7"/>
      <c r="V45" s="7"/>
      <c r="W45" s="7"/>
      <c r="X45" s="7"/>
      <c r="Y45" s="58"/>
      <c r="Z45" s="58"/>
      <c r="AA45" s="14"/>
      <c r="AB45" s="14"/>
    </row>
    <row r="46" spans="1:28" x14ac:dyDescent="0.25">
      <c r="A46" s="56"/>
      <c r="B46" s="56" t="s">
        <v>107</v>
      </c>
      <c r="C46" s="56" t="s">
        <v>149</v>
      </c>
      <c r="D46" s="56" t="s">
        <v>41</v>
      </c>
      <c r="E46" s="56" t="s">
        <v>150</v>
      </c>
      <c r="F46" s="57" t="s">
        <v>151</v>
      </c>
      <c r="G46" s="56" t="s">
        <v>152</v>
      </c>
      <c r="H46" s="35">
        <f>'Reference Costings'!F41</f>
        <v>185</v>
      </c>
      <c r="I46" s="45">
        <v>1200</v>
      </c>
      <c r="J46" s="39">
        <f t="shared" si="0"/>
        <v>222000</v>
      </c>
      <c r="K46" s="43">
        <f t="shared" si="1"/>
        <v>44400</v>
      </c>
      <c r="L46" s="43">
        <f t="shared" si="2"/>
        <v>39960</v>
      </c>
      <c r="M46" s="6">
        <f t="shared" si="9"/>
        <v>0.1</v>
      </c>
      <c r="N46" s="43">
        <f t="shared" si="11"/>
        <v>30636</v>
      </c>
      <c r="O46" s="5">
        <f t="shared" si="47"/>
        <v>0.06</v>
      </c>
      <c r="P46" s="5">
        <f t="shared" si="4"/>
        <v>0.02</v>
      </c>
      <c r="Q46" s="5">
        <f t="shared" si="4"/>
        <v>0.06</v>
      </c>
      <c r="R46" s="43">
        <f t="shared" si="12"/>
        <v>47179.44</v>
      </c>
      <c r="S46" s="43">
        <f t="shared" si="13"/>
        <v>76835.088000000003</v>
      </c>
      <c r="T46" s="43">
        <f t="shared" si="14"/>
        <v>462000</v>
      </c>
      <c r="U46" s="7">
        <v>0</v>
      </c>
      <c r="V46" s="7">
        <f t="shared" ref="V46:V47" si="67">$V$1+U46</f>
        <v>2022</v>
      </c>
      <c r="W46" s="7">
        <v>3</v>
      </c>
      <c r="X46" s="7">
        <f t="shared" ref="X46:X48" si="68">W46+V46</f>
        <v>2025</v>
      </c>
      <c r="Y46" s="58" t="s">
        <v>112</v>
      </c>
      <c r="Z46" s="58"/>
      <c r="AA46" s="14"/>
      <c r="AB46" s="14"/>
    </row>
    <row r="47" spans="1:28" x14ac:dyDescent="0.25">
      <c r="A47" s="56"/>
      <c r="B47" s="56" t="s">
        <v>107</v>
      </c>
      <c r="C47" s="56" t="s">
        <v>149</v>
      </c>
      <c r="D47" s="56" t="s">
        <v>41</v>
      </c>
      <c r="E47" s="56" t="s">
        <v>153</v>
      </c>
      <c r="F47" s="57"/>
      <c r="G47" s="56" t="s">
        <v>339</v>
      </c>
      <c r="H47" s="35">
        <f>Manhole_1050mm</f>
        <v>4700</v>
      </c>
      <c r="I47" s="36">
        <f>ROUNDUP(I46/80,0)</f>
        <v>15</v>
      </c>
      <c r="J47" s="39">
        <f t="shared" si="0"/>
        <v>70500</v>
      </c>
      <c r="K47" s="43">
        <f t="shared" si="1"/>
        <v>14100</v>
      </c>
      <c r="L47" s="43">
        <f t="shared" si="2"/>
        <v>12690</v>
      </c>
      <c r="M47" s="6">
        <f t="shared" si="9"/>
        <v>0.1</v>
      </c>
      <c r="N47" s="43">
        <f>SUM($J47:$L47)*$M47</f>
        <v>9729</v>
      </c>
      <c r="O47" s="5">
        <f t="shared" si="47"/>
        <v>0.06</v>
      </c>
      <c r="P47" s="5">
        <f t="shared" si="4"/>
        <v>0.02</v>
      </c>
      <c r="Q47" s="5">
        <f t="shared" si="4"/>
        <v>0.06</v>
      </c>
      <c r="R47" s="43">
        <f t="shared" si="12"/>
        <v>14982.660000000002</v>
      </c>
      <c r="S47" s="43">
        <f t="shared" si="13"/>
        <v>24400.332000000002</v>
      </c>
      <c r="T47" s="43">
        <f t="shared" si="14"/>
        <v>147000</v>
      </c>
      <c r="U47" s="7">
        <v>0</v>
      </c>
      <c r="V47" s="7">
        <f t="shared" si="67"/>
        <v>2022</v>
      </c>
      <c r="W47" s="7">
        <v>3</v>
      </c>
      <c r="X47" s="7">
        <f t="shared" si="68"/>
        <v>2025</v>
      </c>
      <c r="Y47" s="58" t="s">
        <v>112</v>
      </c>
      <c r="Z47" s="58"/>
      <c r="AA47" s="14"/>
      <c r="AB47" s="14"/>
    </row>
    <row r="48" spans="1:28" ht="45" x14ac:dyDescent="0.25">
      <c r="A48" s="56"/>
      <c r="B48" s="56" t="s">
        <v>107</v>
      </c>
      <c r="C48" s="56" t="s">
        <v>149</v>
      </c>
      <c r="D48" s="56" t="s">
        <v>41</v>
      </c>
      <c r="E48" s="57" t="s">
        <v>154</v>
      </c>
      <c r="F48" s="57" t="s">
        <v>155</v>
      </c>
      <c r="G48" s="56" t="s">
        <v>339</v>
      </c>
      <c r="H48" s="35">
        <f>WW_TreatmentPackage</f>
        <v>790000</v>
      </c>
      <c r="I48" s="45">
        <v>1</v>
      </c>
      <c r="J48" s="39">
        <f t="shared" si="0"/>
        <v>790000</v>
      </c>
      <c r="K48" s="43">
        <f t="shared" si="1"/>
        <v>158000</v>
      </c>
      <c r="L48" s="43">
        <f t="shared" si="2"/>
        <v>142200</v>
      </c>
      <c r="M48" s="6">
        <f t="shared" si="9"/>
        <v>0.1</v>
      </c>
      <c r="N48" s="43">
        <f t="shared" si="11"/>
        <v>109020</v>
      </c>
      <c r="O48" s="5">
        <f t="shared" si="47"/>
        <v>0.06</v>
      </c>
      <c r="P48" s="5">
        <f t="shared" si="4"/>
        <v>0.02</v>
      </c>
      <c r="Q48" s="5">
        <f t="shared" si="4"/>
        <v>0.06</v>
      </c>
      <c r="R48" s="43">
        <f t="shared" si="12"/>
        <v>167890.80000000002</v>
      </c>
      <c r="S48" s="43">
        <f t="shared" si="13"/>
        <v>273422.16000000003</v>
      </c>
      <c r="T48" s="43">
        <f t="shared" si="14"/>
        <v>1641000</v>
      </c>
      <c r="U48" s="60"/>
      <c r="V48" s="60">
        <v>2026</v>
      </c>
      <c r="W48" s="60">
        <v>2</v>
      </c>
      <c r="X48" s="60">
        <f t="shared" si="68"/>
        <v>2028</v>
      </c>
      <c r="Y48" s="58" t="s">
        <v>156</v>
      </c>
      <c r="Z48" s="58"/>
      <c r="AA48" s="14"/>
      <c r="AB48" s="14"/>
    </row>
    <row r="49" spans="1:28" ht="45" x14ac:dyDescent="0.25">
      <c r="A49" s="14" t="s">
        <v>419</v>
      </c>
      <c r="B49" s="14" t="s">
        <v>107</v>
      </c>
      <c r="C49" s="14" t="s">
        <v>149</v>
      </c>
      <c r="D49" s="78" t="s">
        <v>42</v>
      </c>
      <c r="E49" s="14" t="s">
        <v>421</v>
      </c>
      <c r="F49" s="11" t="s">
        <v>423</v>
      </c>
      <c r="G49" s="14"/>
      <c r="H49" s="35"/>
      <c r="I49" s="45"/>
      <c r="J49" s="39"/>
      <c r="K49" s="43"/>
      <c r="L49" s="43"/>
      <c r="M49" s="6"/>
      <c r="N49" s="43"/>
      <c r="O49" s="5"/>
      <c r="P49" s="5"/>
      <c r="Q49" s="5"/>
      <c r="R49" s="43"/>
      <c r="S49" s="43"/>
      <c r="T49" s="43">
        <f>SUM(T50:T52)</f>
        <v>1603000</v>
      </c>
      <c r="U49" s="7"/>
      <c r="V49" s="7"/>
      <c r="W49" s="7"/>
      <c r="X49" s="7"/>
      <c r="Y49" s="58"/>
      <c r="Z49" s="58"/>
      <c r="AA49" s="14"/>
      <c r="AB49" s="14"/>
    </row>
    <row r="50" spans="1:28" x14ac:dyDescent="0.25">
      <c r="A50" s="56"/>
      <c r="B50" s="56" t="s">
        <v>107</v>
      </c>
      <c r="C50" s="56" t="s">
        <v>149</v>
      </c>
      <c r="D50" s="56" t="s">
        <v>42</v>
      </c>
      <c r="E50" s="56" t="s">
        <v>157</v>
      </c>
      <c r="F50" s="57" t="s">
        <v>158</v>
      </c>
      <c r="G50" s="56" t="s">
        <v>152</v>
      </c>
      <c r="H50" s="35">
        <f>Pressure_100mm</f>
        <v>165</v>
      </c>
      <c r="I50" s="45">
        <v>1800</v>
      </c>
      <c r="J50" s="39">
        <f t="shared" si="0"/>
        <v>297000</v>
      </c>
      <c r="K50" s="43">
        <f t="shared" si="1"/>
        <v>59400</v>
      </c>
      <c r="L50" s="43">
        <f t="shared" si="2"/>
        <v>53460</v>
      </c>
      <c r="M50" s="6">
        <f t="shared" si="9"/>
        <v>0.1</v>
      </c>
      <c r="N50" s="43">
        <f t="shared" si="11"/>
        <v>40986</v>
      </c>
      <c r="O50" s="5">
        <f t="shared" si="47"/>
        <v>0.06</v>
      </c>
      <c r="P50" s="5">
        <f t="shared" si="4"/>
        <v>0.02</v>
      </c>
      <c r="Q50" s="5">
        <f t="shared" si="4"/>
        <v>0.06</v>
      </c>
      <c r="R50" s="43">
        <f t="shared" si="12"/>
        <v>63118.44000000001</v>
      </c>
      <c r="S50" s="43">
        <f t="shared" si="13"/>
        <v>102792.88800000001</v>
      </c>
      <c r="T50" s="43">
        <f t="shared" si="14"/>
        <v>617000</v>
      </c>
      <c r="U50" s="7">
        <v>0</v>
      </c>
      <c r="V50" s="7">
        <f t="shared" ref="V50:V52" si="69">$V$1+U50</f>
        <v>2022</v>
      </c>
      <c r="W50" s="7">
        <v>3</v>
      </c>
      <c r="X50" s="7">
        <f>W50+V50</f>
        <v>2025</v>
      </c>
      <c r="Y50" s="58" t="s">
        <v>112</v>
      </c>
      <c r="Z50" s="58"/>
      <c r="AA50" s="14"/>
      <c r="AB50" s="14"/>
    </row>
    <row r="51" spans="1:28" x14ac:dyDescent="0.25">
      <c r="A51" s="56"/>
      <c r="B51" s="56" t="s">
        <v>107</v>
      </c>
      <c r="C51" s="56" t="s">
        <v>149</v>
      </c>
      <c r="D51" s="56" t="s">
        <v>42</v>
      </c>
      <c r="E51" s="56" t="s">
        <v>159</v>
      </c>
      <c r="F51" s="57"/>
      <c r="G51" s="56" t="s">
        <v>339</v>
      </c>
      <c r="H51" s="35">
        <f>GateValve</f>
        <v>1750</v>
      </c>
      <c r="I51" s="36">
        <f>ROUNDUP(I50/135,0)</f>
        <v>14</v>
      </c>
      <c r="J51" s="39">
        <f t="shared" si="0"/>
        <v>24500</v>
      </c>
      <c r="K51" s="43">
        <f t="shared" si="1"/>
        <v>4900</v>
      </c>
      <c r="L51" s="43">
        <f t="shared" si="2"/>
        <v>4410</v>
      </c>
      <c r="M51" s="6">
        <f t="shared" si="9"/>
        <v>0.1</v>
      </c>
      <c r="N51" s="43">
        <f t="shared" si="11"/>
        <v>3381</v>
      </c>
      <c r="O51" s="5">
        <f t="shared" si="47"/>
        <v>0.06</v>
      </c>
      <c r="P51" s="5">
        <f t="shared" si="4"/>
        <v>0.02</v>
      </c>
      <c r="Q51" s="5">
        <f t="shared" si="4"/>
        <v>0.06</v>
      </c>
      <c r="R51" s="43">
        <f t="shared" si="12"/>
        <v>5206.7400000000007</v>
      </c>
      <c r="S51" s="43">
        <f t="shared" si="13"/>
        <v>8479.5480000000007</v>
      </c>
      <c r="T51" s="43">
        <f t="shared" si="14"/>
        <v>51000</v>
      </c>
      <c r="U51" s="7">
        <v>0</v>
      </c>
      <c r="V51" s="7">
        <f t="shared" si="69"/>
        <v>2022</v>
      </c>
      <c r="W51" s="7">
        <v>3</v>
      </c>
      <c r="X51" s="7">
        <f>W51+V51</f>
        <v>2025</v>
      </c>
      <c r="Y51" s="58" t="s">
        <v>112</v>
      </c>
      <c r="Z51" s="58"/>
      <c r="AA51" s="14"/>
      <c r="AB51" s="14"/>
    </row>
    <row r="52" spans="1:28" x14ac:dyDescent="0.25">
      <c r="A52" s="56"/>
      <c r="B52" s="56" t="s">
        <v>107</v>
      </c>
      <c r="C52" s="56" t="s">
        <v>149</v>
      </c>
      <c r="D52" s="56" t="s">
        <v>42</v>
      </c>
      <c r="E52" s="57" t="s">
        <v>160</v>
      </c>
      <c r="F52" s="57" t="s">
        <v>161</v>
      </c>
      <c r="G52" s="56" t="s">
        <v>339</v>
      </c>
      <c r="H52" s="35">
        <f>ConcreteReservoir_500m3</f>
        <v>450000</v>
      </c>
      <c r="I52" s="45">
        <f>ROUNDUP(I51/135,0)</f>
        <v>1</v>
      </c>
      <c r="J52" s="39">
        <f t="shared" si="0"/>
        <v>450000</v>
      </c>
      <c r="K52" s="43">
        <f t="shared" si="1"/>
        <v>90000</v>
      </c>
      <c r="L52" s="43">
        <f t="shared" si="2"/>
        <v>81000</v>
      </c>
      <c r="M52" s="6">
        <f t="shared" si="9"/>
        <v>0.1</v>
      </c>
      <c r="N52" s="43">
        <f t="shared" si="11"/>
        <v>62100</v>
      </c>
      <c r="O52" s="5">
        <f t="shared" si="47"/>
        <v>0.06</v>
      </c>
      <c r="P52" s="5">
        <f t="shared" si="4"/>
        <v>0.02</v>
      </c>
      <c r="Q52" s="5">
        <f t="shared" si="4"/>
        <v>0.06</v>
      </c>
      <c r="R52" s="43">
        <f t="shared" ref="R52" si="70">SUM($O52:$Q52)*SUM($J52:$L52,N52)</f>
        <v>95634.000000000015</v>
      </c>
      <c r="S52" s="43">
        <f t="shared" ref="S52" si="71">SUM(R52,$J52:$L52,$N52)*S$1</f>
        <v>155746.80000000002</v>
      </c>
      <c r="T52" s="43">
        <f t="shared" si="14"/>
        <v>935000</v>
      </c>
      <c r="U52" s="7">
        <v>0</v>
      </c>
      <c r="V52" s="7">
        <f t="shared" si="69"/>
        <v>2022</v>
      </c>
      <c r="W52" s="7">
        <v>3</v>
      </c>
      <c r="X52" s="7">
        <f>W52+V52</f>
        <v>2025</v>
      </c>
      <c r="Y52" s="58" t="s">
        <v>112</v>
      </c>
      <c r="Z52" s="58"/>
      <c r="AA52" s="14"/>
      <c r="AB52" s="14"/>
    </row>
    <row r="53" spans="1:28" ht="57" customHeight="1" x14ac:dyDescent="0.25">
      <c r="A53" s="14" t="s">
        <v>424</v>
      </c>
      <c r="B53" s="14" t="s">
        <v>107</v>
      </c>
      <c r="C53" s="14" t="s">
        <v>137</v>
      </c>
      <c r="D53" s="78" t="s">
        <v>43</v>
      </c>
      <c r="E53" s="14" t="s">
        <v>425</v>
      </c>
      <c r="F53" s="11" t="s">
        <v>428</v>
      </c>
      <c r="G53" s="14"/>
      <c r="H53" s="35"/>
      <c r="I53" s="45"/>
      <c r="J53" s="39"/>
      <c r="K53" s="43"/>
      <c r="L53" s="43"/>
      <c r="M53" s="6"/>
      <c r="N53" s="43"/>
      <c r="O53" s="5"/>
      <c r="P53" s="5"/>
      <c r="Q53" s="5"/>
      <c r="R53" s="43"/>
      <c r="S53" s="43"/>
      <c r="T53" s="43">
        <f>SUM(T54:T55)</f>
        <v>4993000</v>
      </c>
      <c r="U53" s="7"/>
      <c r="V53" s="7"/>
      <c r="W53" s="7"/>
      <c r="X53" s="7"/>
      <c r="Y53" s="58"/>
      <c r="Z53" s="58"/>
      <c r="AA53" s="14"/>
      <c r="AB53" s="14"/>
    </row>
    <row r="54" spans="1:28" ht="13.35" customHeight="1" x14ac:dyDescent="0.25">
      <c r="A54" s="56"/>
      <c r="B54" s="56" t="s">
        <v>107</v>
      </c>
      <c r="C54" s="56" t="s">
        <v>137</v>
      </c>
      <c r="D54" s="56" t="s">
        <v>43</v>
      </c>
      <c r="E54" s="56" t="s">
        <v>162</v>
      </c>
      <c r="F54" s="57" t="s">
        <v>429</v>
      </c>
      <c r="G54" s="56" t="s">
        <v>339</v>
      </c>
      <c r="H54" s="35">
        <f>Turbine</f>
        <v>1100000</v>
      </c>
      <c r="I54" s="45">
        <v>2</v>
      </c>
      <c r="J54" s="39">
        <f t="shared" si="0"/>
        <v>2200000</v>
      </c>
      <c r="K54" s="43">
        <f t="shared" si="1"/>
        <v>440000</v>
      </c>
      <c r="L54" s="43">
        <f t="shared" si="2"/>
        <v>396000</v>
      </c>
      <c r="M54" s="6">
        <f t="shared" si="9"/>
        <v>0.1</v>
      </c>
      <c r="N54" s="43">
        <f t="shared" si="11"/>
        <v>303600</v>
      </c>
      <c r="O54" s="5">
        <f t="shared" si="47"/>
        <v>0.06</v>
      </c>
      <c r="P54" s="5">
        <f t="shared" si="4"/>
        <v>0.02</v>
      </c>
      <c r="Q54" s="5">
        <f t="shared" si="4"/>
        <v>0.06</v>
      </c>
      <c r="R54" s="43">
        <f t="shared" ref="R54" si="72">SUM($O54:$Q54)*SUM($J54:$L54,N54)</f>
        <v>467544.00000000006</v>
      </c>
      <c r="S54" s="43">
        <f t="shared" ref="S54" si="73">SUM(R54,$J54:$L54,$N54)*S$1</f>
        <v>761428.8</v>
      </c>
      <c r="T54" s="43">
        <f t="shared" si="14"/>
        <v>4569000</v>
      </c>
      <c r="U54" s="7"/>
      <c r="V54" s="7"/>
      <c r="W54" s="7"/>
      <c r="X54" s="7"/>
      <c r="Y54" s="58"/>
      <c r="Z54" s="58"/>
      <c r="AA54" s="14"/>
      <c r="AB54" s="14"/>
    </row>
    <row r="55" spans="1:28" ht="13.35" customHeight="1" x14ac:dyDescent="0.25">
      <c r="A55" s="56"/>
      <c r="B55" s="56" t="s">
        <v>107</v>
      </c>
      <c r="C55" s="56" t="s">
        <v>137</v>
      </c>
      <c r="D55" s="56" t="s">
        <v>43</v>
      </c>
      <c r="E55" s="56" t="s">
        <v>163</v>
      </c>
      <c r="F55" s="57" t="s">
        <v>430</v>
      </c>
      <c r="G55" s="56" t="s">
        <v>152</v>
      </c>
      <c r="H55" s="35">
        <f>Power_Cabling</f>
        <v>170</v>
      </c>
      <c r="I55" s="45">
        <v>1200</v>
      </c>
      <c r="J55" s="39">
        <f t="shared" si="0"/>
        <v>204000</v>
      </c>
      <c r="K55" s="43">
        <f t="shared" si="1"/>
        <v>40800</v>
      </c>
      <c r="L55" s="43">
        <f t="shared" si="2"/>
        <v>36720</v>
      </c>
      <c r="M55" s="6">
        <f t="shared" si="9"/>
        <v>0.1</v>
      </c>
      <c r="N55" s="43">
        <f t="shared" si="11"/>
        <v>28152</v>
      </c>
      <c r="O55" s="5">
        <f t="shared" si="47"/>
        <v>0.06</v>
      </c>
      <c r="P55" s="5">
        <f t="shared" si="4"/>
        <v>0.02</v>
      </c>
      <c r="Q55" s="5">
        <f t="shared" si="4"/>
        <v>0.06</v>
      </c>
      <c r="R55" s="43">
        <f t="shared" ref="R55" si="74">SUM($O55:$Q55)*SUM($J55:$L55,N55)</f>
        <v>43354.080000000002</v>
      </c>
      <c r="S55" s="43">
        <f t="shared" ref="S55:S57" si="75">SUM(R55,$J55:$L55,$N55)*S$1</f>
        <v>70605.216</v>
      </c>
      <c r="T55" s="43">
        <f t="shared" si="14"/>
        <v>424000</v>
      </c>
      <c r="U55" s="7"/>
      <c r="V55" s="7"/>
      <c r="W55" s="7"/>
      <c r="X55" s="7"/>
      <c r="Y55" s="58"/>
      <c r="Z55" s="58"/>
      <c r="AA55" s="14"/>
      <c r="AB55" s="14"/>
    </row>
    <row r="56" spans="1:28" ht="45" x14ac:dyDescent="0.25">
      <c r="A56" s="14" t="s">
        <v>443</v>
      </c>
      <c r="B56" s="14" t="s">
        <v>107</v>
      </c>
      <c r="C56" s="14" t="s">
        <v>137</v>
      </c>
      <c r="D56" s="78" t="s">
        <v>31</v>
      </c>
      <c r="E56" s="14" t="s">
        <v>439</v>
      </c>
      <c r="F56" s="11" t="s">
        <v>442</v>
      </c>
      <c r="G56" s="14"/>
      <c r="H56" s="35"/>
      <c r="I56" s="45"/>
      <c r="J56" s="39"/>
      <c r="K56" s="43"/>
      <c r="L56" s="43"/>
      <c r="M56" s="6"/>
      <c r="N56" s="43"/>
      <c r="O56" s="5"/>
      <c r="P56" s="5"/>
      <c r="Q56" s="5"/>
      <c r="R56" s="43"/>
      <c r="S56" s="43"/>
      <c r="T56" s="43">
        <f>SUM(T57:T59)</f>
        <v>1341000</v>
      </c>
      <c r="U56" s="7"/>
      <c r="V56" s="7"/>
      <c r="W56" s="7"/>
      <c r="X56" s="7"/>
      <c r="Y56" s="58"/>
      <c r="Z56" s="58"/>
      <c r="AA56" s="14"/>
      <c r="AB56" s="14"/>
    </row>
    <row r="57" spans="1:28" ht="45" x14ac:dyDescent="0.25">
      <c r="A57" s="56"/>
      <c r="B57" s="56" t="s">
        <v>107</v>
      </c>
      <c r="C57" s="56" t="s">
        <v>137</v>
      </c>
      <c r="D57" s="56" t="s">
        <v>31</v>
      </c>
      <c r="E57" s="56" t="s">
        <v>437</v>
      </c>
      <c r="F57" s="57" t="s">
        <v>438</v>
      </c>
      <c r="G57" s="56" t="s">
        <v>110</v>
      </c>
      <c r="H57" s="35">
        <f>ViewingPlatform</f>
        <v>1250</v>
      </c>
      <c r="I57" s="45">
        <v>300</v>
      </c>
      <c r="J57" s="39">
        <f t="shared" si="0"/>
        <v>375000</v>
      </c>
      <c r="K57" s="43">
        <f t="shared" si="1"/>
        <v>75000</v>
      </c>
      <c r="L57" s="43">
        <f t="shared" si="2"/>
        <v>67500</v>
      </c>
      <c r="M57" s="6">
        <f t="shared" si="9"/>
        <v>0.1</v>
      </c>
      <c r="N57" s="43">
        <f t="shared" si="11"/>
        <v>51750</v>
      </c>
      <c r="O57" s="5">
        <f t="shared" si="47"/>
        <v>0.06</v>
      </c>
      <c r="P57" s="5">
        <f t="shared" si="4"/>
        <v>0.02</v>
      </c>
      <c r="Q57" s="5">
        <f t="shared" si="4"/>
        <v>0.06</v>
      </c>
      <c r="R57" s="43">
        <f t="shared" ref="R57" si="76">SUM($O57:$Q57)*SUM($J57:$L57,N57)</f>
        <v>79695.000000000015</v>
      </c>
      <c r="S57" s="43">
        <f t="shared" si="75"/>
        <v>129789</v>
      </c>
      <c r="T57" s="43">
        <f t="shared" si="14"/>
        <v>779000</v>
      </c>
      <c r="U57" s="7">
        <v>0</v>
      </c>
      <c r="V57" s="7">
        <f t="shared" ref="V57" si="77">$V$1+U57</f>
        <v>2022</v>
      </c>
      <c r="W57" s="7">
        <v>3</v>
      </c>
      <c r="X57" s="7">
        <f t="shared" ref="X57" si="78">W57+V57</f>
        <v>2025</v>
      </c>
      <c r="Y57" s="58" t="s">
        <v>112</v>
      </c>
      <c r="Z57" s="58"/>
      <c r="AA57" s="14"/>
      <c r="AB57" s="14"/>
    </row>
    <row r="58" spans="1:28" ht="51" customHeight="1" x14ac:dyDescent="0.25">
      <c r="A58" s="56"/>
      <c r="B58" s="56" t="s">
        <v>107</v>
      </c>
      <c r="C58" s="56" t="s">
        <v>137</v>
      </c>
      <c r="D58" s="56" t="s">
        <v>31</v>
      </c>
      <c r="E58" s="56" t="s">
        <v>440</v>
      </c>
      <c r="F58" s="57" t="s">
        <v>441</v>
      </c>
      <c r="G58" s="56" t="s">
        <v>152</v>
      </c>
      <c r="H58" s="35">
        <f>Experience_Hub</f>
        <v>5000</v>
      </c>
      <c r="I58" s="45">
        <v>30</v>
      </c>
      <c r="J58" s="39">
        <f t="shared" si="0"/>
        <v>150000</v>
      </c>
      <c r="K58" s="43">
        <f t="shared" si="1"/>
        <v>30000</v>
      </c>
      <c r="L58" s="43">
        <f t="shared" si="2"/>
        <v>27000</v>
      </c>
      <c r="M58" s="6">
        <f t="shared" si="9"/>
        <v>0.1</v>
      </c>
      <c r="N58" s="43">
        <f t="shared" si="11"/>
        <v>20700</v>
      </c>
      <c r="O58" s="5">
        <f t="shared" si="47"/>
        <v>0.06</v>
      </c>
      <c r="P58" s="5">
        <f t="shared" si="4"/>
        <v>0.02</v>
      </c>
      <c r="Q58" s="5">
        <f t="shared" si="4"/>
        <v>0.06</v>
      </c>
      <c r="R58" s="43">
        <f t="shared" ref="R58" si="79">SUM($O58:$Q58)*SUM($J58:$L58,N58)</f>
        <v>31878.000000000004</v>
      </c>
      <c r="S58" s="43">
        <f t="shared" ref="S58" si="80">SUM(R58,$J58:$L58,$N58)*S$1</f>
        <v>51915.600000000006</v>
      </c>
      <c r="T58" s="43">
        <f t="shared" si="14"/>
        <v>312000</v>
      </c>
      <c r="U58" s="7">
        <v>0</v>
      </c>
      <c r="V58" s="7">
        <f t="shared" ref="V58" si="81">$V$1+U58</f>
        <v>2022</v>
      </c>
      <c r="W58" s="7">
        <v>3</v>
      </c>
      <c r="X58" s="7">
        <f t="shared" ref="X58" si="82">W58+V58</f>
        <v>2025</v>
      </c>
      <c r="Y58" s="58" t="s">
        <v>112</v>
      </c>
      <c r="Z58" s="58"/>
      <c r="AA58" s="14"/>
      <c r="AB58" s="14"/>
    </row>
    <row r="59" spans="1:28" ht="30" x14ac:dyDescent="0.25">
      <c r="A59" s="56"/>
      <c r="B59" s="56" t="s">
        <v>107</v>
      </c>
      <c r="C59" s="56" t="s">
        <v>137</v>
      </c>
      <c r="D59" s="56" t="s">
        <v>31</v>
      </c>
      <c r="E59" s="56" t="s">
        <v>44</v>
      </c>
      <c r="F59" s="57" t="s">
        <v>164</v>
      </c>
      <c r="G59" s="56" t="s">
        <v>152</v>
      </c>
      <c r="H59" s="35">
        <f>Track_Tramping</f>
        <v>400</v>
      </c>
      <c r="I59" s="45">
        <v>300</v>
      </c>
      <c r="J59" s="39">
        <f t="shared" si="0"/>
        <v>120000</v>
      </c>
      <c r="K59" s="43">
        <f t="shared" si="1"/>
        <v>24000</v>
      </c>
      <c r="L59" s="43">
        <f t="shared" si="2"/>
        <v>21600</v>
      </c>
      <c r="M59" s="6">
        <f t="shared" si="9"/>
        <v>0.1</v>
      </c>
      <c r="N59" s="43">
        <f t="shared" si="11"/>
        <v>16560</v>
      </c>
      <c r="O59" s="5">
        <f t="shared" si="47"/>
        <v>0.06</v>
      </c>
      <c r="P59" s="5">
        <f t="shared" si="4"/>
        <v>0.02</v>
      </c>
      <c r="Q59" s="5">
        <f t="shared" si="4"/>
        <v>0.06</v>
      </c>
      <c r="R59" s="43">
        <f t="shared" si="12"/>
        <v>25502.400000000001</v>
      </c>
      <c r="S59" s="43">
        <f t="shared" si="13"/>
        <v>41532.480000000003</v>
      </c>
      <c r="T59" s="43">
        <f t="shared" si="14"/>
        <v>250000</v>
      </c>
      <c r="U59" s="7">
        <v>0</v>
      </c>
      <c r="V59" s="7">
        <f t="shared" ref="V59:V60" si="83">$V$1+U59</f>
        <v>2022</v>
      </c>
      <c r="W59" s="7">
        <v>3</v>
      </c>
      <c r="X59" s="7">
        <f t="shared" ref="X59:X65" si="84">W59+V59</f>
        <v>2025</v>
      </c>
      <c r="Y59" s="58" t="s">
        <v>112</v>
      </c>
      <c r="Z59" s="58"/>
      <c r="AA59" s="14"/>
      <c r="AB59" s="14"/>
    </row>
    <row r="60" spans="1:28" ht="46.5" customHeight="1" x14ac:dyDescent="0.25">
      <c r="A60" s="14" t="s">
        <v>433</v>
      </c>
      <c r="B60" s="14" t="s">
        <v>107</v>
      </c>
      <c r="C60" s="14" t="s">
        <v>137</v>
      </c>
      <c r="D60" s="78" t="s">
        <v>31</v>
      </c>
      <c r="E60" s="14" t="s">
        <v>450</v>
      </c>
      <c r="F60" s="11" t="s">
        <v>451</v>
      </c>
      <c r="G60" s="14" t="s">
        <v>152</v>
      </c>
      <c r="H60" s="35">
        <f>Track_Tramping</f>
        <v>400</v>
      </c>
      <c r="I60" s="45">
        <f>2400*1.5</f>
        <v>3600</v>
      </c>
      <c r="J60" s="39">
        <f t="shared" si="0"/>
        <v>1440000</v>
      </c>
      <c r="K60" s="43">
        <f t="shared" si="1"/>
        <v>288000</v>
      </c>
      <c r="L60" s="43">
        <f t="shared" si="2"/>
        <v>259200</v>
      </c>
      <c r="M60" s="6">
        <f t="shared" si="9"/>
        <v>0.1</v>
      </c>
      <c r="N60" s="43">
        <f t="shared" si="11"/>
        <v>198720</v>
      </c>
      <c r="O60" s="5">
        <f t="shared" si="47"/>
        <v>0.06</v>
      </c>
      <c r="P60" s="5">
        <f t="shared" si="4"/>
        <v>0.02</v>
      </c>
      <c r="Q60" s="5">
        <f t="shared" si="4"/>
        <v>0.06</v>
      </c>
      <c r="R60" s="43">
        <f t="shared" si="12"/>
        <v>306028.80000000005</v>
      </c>
      <c r="S60" s="43">
        <f t="shared" si="13"/>
        <v>498389.76000000001</v>
      </c>
      <c r="T60" s="43">
        <f t="shared" si="14"/>
        <v>2991000</v>
      </c>
      <c r="U60" s="7">
        <v>0</v>
      </c>
      <c r="V60" s="7">
        <f t="shared" si="83"/>
        <v>2022</v>
      </c>
      <c r="W60" s="7">
        <v>3</v>
      </c>
      <c r="X60" s="7">
        <f t="shared" si="84"/>
        <v>2025</v>
      </c>
      <c r="Y60" s="58" t="s">
        <v>112</v>
      </c>
      <c r="Z60" s="58"/>
      <c r="AA60" s="14"/>
      <c r="AB60" s="14"/>
    </row>
    <row r="61" spans="1:28" ht="45" x14ac:dyDescent="0.25">
      <c r="A61" s="14" t="s">
        <v>431</v>
      </c>
      <c r="B61" s="14" t="s">
        <v>107</v>
      </c>
      <c r="C61" s="14" t="s">
        <v>137</v>
      </c>
      <c r="D61" s="78" t="s">
        <v>18</v>
      </c>
      <c r="E61" s="14" t="s">
        <v>350</v>
      </c>
      <c r="F61" s="11" t="s">
        <v>461</v>
      </c>
      <c r="G61" s="14" t="s">
        <v>339</v>
      </c>
      <c r="H61" s="35"/>
      <c r="I61" s="45">
        <v>1</v>
      </c>
      <c r="J61" s="39"/>
      <c r="K61" s="43"/>
      <c r="L61" s="43"/>
      <c r="M61" s="6"/>
      <c r="N61" s="43"/>
      <c r="O61" s="5"/>
      <c r="P61" s="5"/>
      <c r="Q61" s="5"/>
      <c r="R61" s="43"/>
      <c r="S61" s="43"/>
      <c r="T61" s="43">
        <v>2000000</v>
      </c>
      <c r="U61" s="7">
        <v>0</v>
      </c>
      <c r="V61" s="7">
        <f t="shared" ref="V61" si="85">$V$1+U61</f>
        <v>2022</v>
      </c>
      <c r="W61" s="7">
        <v>3</v>
      </c>
      <c r="X61" s="7">
        <f t="shared" ref="X61" si="86">W61+V61</f>
        <v>2025</v>
      </c>
      <c r="Y61" s="58" t="s">
        <v>112</v>
      </c>
      <c r="Z61" s="58"/>
      <c r="AA61" s="14"/>
      <c r="AB61" s="14"/>
    </row>
    <row r="62" spans="1:28" ht="59.45" customHeight="1" x14ac:dyDescent="0.25">
      <c r="A62" s="14" t="s">
        <v>444</v>
      </c>
      <c r="B62" s="14" t="s">
        <v>107</v>
      </c>
      <c r="C62" s="14" t="s">
        <v>137</v>
      </c>
      <c r="D62" s="78" t="s">
        <v>31</v>
      </c>
      <c r="E62" s="14" t="s">
        <v>165</v>
      </c>
      <c r="F62" s="11" t="s">
        <v>449</v>
      </c>
      <c r="G62" s="14" t="s">
        <v>152</v>
      </c>
      <c r="H62" s="35">
        <f>Track_Premium</f>
        <v>470</v>
      </c>
      <c r="I62" s="45">
        <v>1000</v>
      </c>
      <c r="J62" s="39">
        <f t="shared" si="0"/>
        <v>470000</v>
      </c>
      <c r="K62" s="43">
        <f t="shared" si="1"/>
        <v>94000</v>
      </c>
      <c r="L62" s="43">
        <f t="shared" si="2"/>
        <v>84600</v>
      </c>
      <c r="M62" s="6">
        <f t="shared" si="9"/>
        <v>0.1</v>
      </c>
      <c r="N62" s="43">
        <f t="shared" si="11"/>
        <v>64860</v>
      </c>
      <c r="O62" s="5">
        <f t="shared" si="47"/>
        <v>0.06</v>
      </c>
      <c r="P62" s="5">
        <f t="shared" si="4"/>
        <v>0.02</v>
      </c>
      <c r="Q62" s="5">
        <f t="shared" si="4"/>
        <v>0.06</v>
      </c>
      <c r="R62" s="43">
        <f t="shared" ref="R62" si="87">SUM($O62:$Q62)*SUM($J62:$L62,N62)</f>
        <v>99884.400000000009</v>
      </c>
      <c r="S62" s="43">
        <f t="shared" ref="S62" si="88">SUM(R62,$J62:$L62,$N62)*S$1</f>
        <v>162668.88</v>
      </c>
      <c r="T62" s="43">
        <f t="shared" si="14"/>
        <v>977000</v>
      </c>
      <c r="U62" s="7">
        <v>0</v>
      </c>
      <c r="V62" s="7">
        <f t="shared" ref="V62" si="89">$V$1+U62</f>
        <v>2022</v>
      </c>
      <c r="W62" s="7">
        <v>3</v>
      </c>
      <c r="X62" s="7">
        <f t="shared" si="84"/>
        <v>2025</v>
      </c>
      <c r="Y62" s="58" t="s">
        <v>112</v>
      </c>
      <c r="Z62" s="58"/>
      <c r="AA62" s="14"/>
      <c r="AB62" s="14"/>
    </row>
    <row r="63" spans="1:28" ht="60" x14ac:dyDescent="0.25">
      <c r="A63" s="14" t="s">
        <v>436</v>
      </c>
      <c r="B63" s="14" t="s">
        <v>107</v>
      </c>
      <c r="C63" s="14" t="s">
        <v>137</v>
      </c>
      <c r="D63" s="78" t="s">
        <v>31</v>
      </c>
      <c r="E63" s="14" t="s">
        <v>329</v>
      </c>
      <c r="F63" s="11" t="s">
        <v>432</v>
      </c>
      <c r="G63" s="14" t="s">
        <v>152</v>
      </c>
      <c r="H63" s="35">
        <f>Track_Tramping</f>
        <v>400</v>
      </c>
      <c r="I63" s="45">
        <f>2000+4000/2</f>
        <v>4000</v>
      </c>
      <c r="J63" s="39">
        <f t="shared" si="0"/>
        <v>1600000</v>
      </c>
      <c r="K63" s="43">
        <f t="shared" si="1"/>
        <v>320000</v>
      </c>
      <c r="L63" s="43">
        <f t="shared" si="2"/>
        <v>288000</v>
      </c>
      <c r="M63" s="6">
        <f t="shared" si="9"/>
        <v>0.1</v>
      </c>
      <c r="N63" s="43">
        <f t="shared" si="11"/>
        <v>220800</v>
      </c>
      <c r="O63" s="5">
        <f t="shared" si="47"/>
        <v>0.06</v>
      </c>
      <c r="P63" s="5">
        <f t="shared" si="4"/>
        <v>0.02</v>
      </c>
      <c r="Q63" s="5">
        <f t="shared" si="4"/>
        <v>0.06</v>
      </c>
      <c r="R63" s="43">
        <f t="shared" ref="R63" si="90">SUM($O63:$Q63)*SUM($J63:$L63,N63)</f>
        <v>340032.00000000006</v>
      </c>
      <c r="S63" s="43">
        <f t="shared" ref="S63" si="91">SUM(R63,$J63:$L63,$N63)*S$1</f>
        <v>553766.40000000002</v>
      </c>
      <c r="T63" s="43">
        <f t="shared" si="14"/>
        <v>3323000</v>
      </c>
      <c r="U63" s="7">
        <v>0</v>
      </c>
      <c r="V63" s="7">
        <f t="shared" ref="V63" si="92">$V$1+U63</f>
        <v>2022</v>
      </c>
      <c r="W63" s="7">
        <v>3</v>
      </c>
      <c r="X63" s="7">
        <f t="shared" si="84"/>
        <v>2025</v>
      </c>
      <c r="Y63" s="58"/>
      <c r="Z63" s="58"/>
      <c r="AA63" s="14"/>
      <c r="AB63" s="14"/>
    </row>
    <row r="64" spans="1:28" ht="30" x14ac:dyDescent="0.25">
      <c r="A64" s="14" t="s">
        <v>434</v>
      </c>
      <c r="B64" s="14" t="s">
        <v>107</v>
      </c>
      <c r="C64" s="14" t="s">
        <v>137</v>
      </c>
      <c r="D64" s="78" t="s">
        <v>31</v>
      </c>
      <c r="E64" s="14" t="s">
        <v>45</v>
      </c>
      <c r="F64" s="11" t="s">
        <v>579</v>
      </c>
      <c r="G64" s="14" t="s">
        <v>152</v>
      </c>
      <c r="H64" s="79">
        <f>Pontoon</f>
        <v>3000</v>
      </c>
      <c r="I64" s="45">
        <v>130</v>
      </c>
      <c r="J64" s="39">
        <f t="shared" si="0"/>
        <v>390000</v>
      </c>
      <c r="K64" s="43">
        <f t="shared" si="1"/>
        <v>78000</v>
      </c>
      <c r="L64" s="43">
        <f t="shared" si="2"/>
        <v>70200</v>
      </c>
      <c r="M64" s="6">
        <f t="shared" si="9"/>
        <v>0.1</v>
      </c>
      <c r="N64" s="43">
        <f t="shared" si="11"/>
        <v>53820</v>
      </c>
      <c r="O64" s="5">
        <f t="shared" si="47"/>
        <v>0.06</v>
      </c>
      <c r="P64" s="5">
        <f t="shared" si="4"/>
        <v>0.02</v>
      </c>
      <c r="Q64" s="5">
        <f t="shared" si="4"/>
        <v>0.06</v>
      </c>
      <c r="R64" s="43">
        <f t="shared" ref="R64" si="93">SUM($O64:$Q64)*SUM($J64:$L64,N64)</f>
        <v>82882.8</v>
      </c>
      <c r="S64" s="43">
        <f t="shared" si="13"/>
        <v>134980.56000000003</v>
      </c>
      <c r="T64" s="43">
        <f t="shared" si="14"/>
        <v>810000</v>
      </c>
      <c r="U64" s="7">
        <v>0</v>
      </c>
      <c r="V64" s="7">
        <f t="shared" ref="V64" si="94">$V$1+U64</f>
        <v>2022</v>
      </c>
      <c r="W64" s="7">
        <v>3</v>
      </c>
      <c r="X64" s="7">
        <f t="shared" si="84"/>
        <v>2025</v>
      </c>
      <c r="Y64" s="58" t="s">
        <v>112</v>
      </c>
      <c r="Z64" s="58"/>
      <c r="AA64" s="14"/>
      <c r="AB64" s="14"/>
    </row>
    <row r="65" spans="1:28" ht="30" x14ac:dyDescent="0.25">
      <c r="A65" s="14" t="s">
        <v>435</v>
      </c>
      <c r="B65" s="14" t="s">
        <v>107</v>
      </c>
      <c r="C65" s="14" t="s">
        <v>137</v>
      </c>
      <c r="D65" s="78" t="s">
        <v>28</v>
      </c>
      <c r="E65" s="14" t="s">
        <v>46</v>
      </c>
      <c r="F65" s="11" t="s">
        <v>452</v>
      </c>
      <c r="G65" s="14" t="s">
        <v>152</v>
      </c>
      <c r="H65" s="79">
        <f>Pontoon</f>
        <v>3000</v>
      </c>
      <c r="I65" s="45">
        <v>50</v>
      </c>
      <c r="J65" s="39">
        <f t="shared" si="0"/>
        <v>150000</v>
      </c>
      <c r="K65" s="43">
        <f t="shared" si="1"/>
        <v>30000</v>
      </c>
      <c r="L65" s="43">
        <f t="shared" si="2"/>
        <v>27000</v>
      </c>
      <c r="M65" s="6">
        <f t="shared" si="9"/>
        <v>0.1</v>
      </c>
      <c r="N65" s="43">
        <f t="shared" si="11"/>
        <v>20700</v>
      </c>
      <c r="O65" s="5">
        <f t="shared" si="47"/>
        <v>0.06</v>
      </c>
      <c r="P65" s="5">
        <f t="shared" si="4"/>
        <v>0.02</v>
      </c>
      <c r="Q65" s="5">
        <f t="shared" si="4"/>
        <v>0.06</v>
      </c>
      <c r="R65" s="43">
        <f t="shared" ref="R65" si="95">SUM($O65:$Q65)*SUM($J65:$L65,N65)</f>
        <v>31878.000000000004</v>
      </c>
      <c r="S65" s="43">
        <f t="shared" ref="S65" si="96">SUM(R65,$J65:$L65,$N65)*S$1</f>
        <v>51915.600000000006</v>
      </c>
      <c r="T65" s="43">
        <f t="shared" si="14"/>
        <v>312000</v>
      </c>
      <c r="U65" s="7">
        <v>0</v>
      </c>
      <c r="V65" s="7">
        <f t="shared" ref="V65" si="97">$V$1+U65</f>
        <v>2022</v>
      </c>
      <c r="W65" s="7">
        <v>3</v>
      </c>
      <c r="X65" s="7">
        <f t="shared" si="84"/>
        <v>2025</v>
      </c>
      <c r="Y65" s="58" t="s">
        <v>166</v>
      </c>
      <c r="Z65" s="58"/>
      <c r="AA65" s="14"/>
      <c r="AB65" s="14"/>
    </row>
    <row r="66" spans="1:28" x14ac:dyDescent="0.25">
      <c r="A66" s="83"/>
      <c r="B66" s="83"/>
      <c r="C66" s="83"/>
      <c r="D66" s="83"/>
      <c r="E66" s="83"/>
      <c r="F66" s="84"/>
      <c r="G66" s="83"/>
      <c r="H66" s="85"/>
      <c r="I66" s="86"/>
      <c r="J66" s="85"/>
      <c r="K66" s="87"/>
      <c r="L66" s="87"/>
      <c r="M66" s="88"/>
      <c r="N66" s="87"/>
      <c r="O66" s="88"/>
      <c r="P66" s="88"/>
      <c r="Q66" s="88"/>
      <c r="R66" s="87"/>
      <c r="S66" s="87"/>
      <c r="T66" s="87"/>
      <c r="U66" s="83"/>
      <c r="V66" s="83"/>
      <c r="W66" s="83"/>
      <c r="X66" s="83"/>
      <c r="Y66" s="89"/>
      <c r="Z66" s="89"/>
      <c r="AA66" s="83"/>
      <c r="AB66" s="83"/>
    </row>
    <row r="67" spans="1:28" ht="57" customHeight="1" x14ac:dyDescent="0.25">
      <c r="A67" s="14" t="s">
        <v>453</v>
      </c>
      <c r="B67" s="14" t="s">
        <v>47</v>
      </c>
      <c r="C67" s="14" t="s">
        <v>108</v>
      </c>
      <c r="D67" s="78" t="s">
        <v>55</v>
      </c>
      <c r="E67" s="14" t="s">
        <v>56</v>
      </c>
      <c r="F67" s="11" t="s">
        <v>456</v>
      </c>
      <c r="G67" s="14" t="s">
        <v>110</v>
      </c>
      <c r="H67" s="35">
        <f>Motel_2star</f>
        <v>3600</v>
      </c>
      <c r="I67" s="45">
        <v>330</v>
      </c>
      <c r="J67" s="39">
        <f t="shared" si="0"/>
        <v>1188000</v>
      </c>
      <c r="K67" s="43">
        <f t="shared" si="1"/>
        <v>237600</v>
      </c>
      <c r="L67" s="43">
        <f t="shared" si="2"/>
        <v>213840</v>
      </c>
      <c r="M67" s="6">
        <f t="shared" si="9"/>
        <v>7.4999999999999997E-2</v>
      </c>
      <c r="N67" s="43">
        <f t="shared" si="11"/>
        <v>122958</v>
      </c>
      <c r="O67" s="5">
        <v>0.1</v>
      </c>
      <c r="P67" s="5">
        <f t="shared" si="4"/>
        <v>0.02</v>
      </c>
      <c r="Q67" s="5">
        <f t="shared" si="4"/>
        <v>0.06</v>
      </c>
      <c r="R67" s="43">
        <f t="shared" si="12"/>
        <v>317231.64</v>
      </c>
      <c r="S67" s="43">
        <f t="shared" si="13"/>
        <v>415925.92800000007</v>
      </c>
      <c r="T67" s="43">
        <f t="shared" si="14"/>
        <v>2496000</v>
      </c>
      <c r="U67" s="7">
        <v>0</v>
      </c>
      <c r="V67" s="7">
        <f t="shared" ref="V67:V68" si="98">$V$1+U67</f>
        <v>2022</v>
      </c>
      <c r="W67" s="7">
        <v>3</v>
      </c>
      <c r="X67" s="7">
        <f t="shared" ref="X67:X68" si="99">W67+V67</f>
        <v>2025</v>
      </c>
      <c r="Y67" s="58" t="s">
        <v>112</v>
      </c>
      <c r="Z67" s="58"/>
      <c r="AA67" s="14"/>
      <c r="AB67" s="14"/>
    </row>
    <row r="68" spans="1:28" ht="57" customHeight="1" x14ac:dyDescent="0.25">
      <c r="A68" s="14" t="s">
        <v>455</v>
      </c>
      <c r="B68" s="14" t="s">
        <v>47</v>
      </c>
      <c r="C68" s="14" t="s">
        <v>108</v>
      </c>
      <c r="D68" s="78" t="s">
        <v>55</v>
      </c>
      <c r="E68" s="14" t="s">
        <v>57</v>
      </c>
      <c r="F68" s="11" t="s">
        <v>457</v>
      </c>
      <c r="G68" s="14" t="s">
        <v>110</v>
      </c>
      <c r="H68" s="35">
        <f>Landscaping</f>
        <v>119</v>
      </c>
      <c r="I68" s="45">
        <v>16000</v>
      </c>
      <c r="J68" s="39">
        <f t="shared" si="0"/>
        <v>1904000</v>
      </c>
      <c r="K68" s="43">
        <f t="shared" si="1"/>
        <v>380800</v>
      </c>
      <c r="L68" s="43">
        <f t="shared" si="2"/>
        <v>342720</v>
      </c>
      <c r="M68" s="6">
        <f t="shared" si="9"/>
        <v>7.4999999999999997E-2</v>
      </c>
      <c r="N68" s="43">
        <f t="shared" si="11"/>
        <v>197064</v>
      </c>
      <c r="O68" s="5">
        <v>0.06</v>
      </c>
      <c r="P68" s="5">
        <f t="shared" si="4"/>
        <v>0.02</v>
      </c>
      <c r="Q68" s="5">
        <f t="shared" si="4"/>
        <v>0.06</v>
      </c>
      <c r="R68" s="43">
        <f t="shared" ref="R68" si="100">SUM($O68:$Q68)*SUM($J68:$L68,N68)</f>
        <v>395441.76</v>
      </c>
      <c r="S68" s="43">
        <f t="shared" ref="S68" si="101">SUM(R68,$J68:$L68,$N68)*S$1</f>
        <v>644005.152</v>
      </c>
      <c r="T68" s="43">
        <f t="shared" si="14"/>
        <v>3865000</v>
      </c>
      <c r="U68" s="7">
        <v>0</v>
      </c>
      <c r="V68" s="7">
        <f t="shared" si="98"/>
        <v>2022</v>
      </c>
      <c r="W68" s="7">
        <v>3</v>
      </c>
      <c r="X68" s="7">
        <f t="shared" si="99"/>
        <v>2025</v>
      </c>
      <c r="Y68" s="58" t="s">
        <v>112</v>
      </c>
      <c r="Z68" s="58"/>
      <c r="AA68" s="14"/>
      <c r="AB68" s="14"/>
    </row>
    <row r="69" spans="1:28" ht="30" x14ac:dyDescent="0.25">
      <c r="A69" s="14" t="s">
        <v>475</v>
      </c>
      <c r="B69" s="14" t="s">
        <v>47</v>
      </c>
      <c r="C69" s="14" t="s">
        <v>149</v>
      </c>
      <c r="D69" s="78" t="s">
        <v>55</v>
      </c>
      <c r="E69" s="14" t="s">
        <v>421</v>
      </c>
      <c r="F69" s="11" t="s">
        <v>462</v>
      </c>
      <c r="G69" s="14"/>
      <c r="H69" s="35"/>
      <c r="I69" s="45"/>
      <c r="J69" s="39"/>
      <c r="K69" s="43"/>
      <c r="L69" s="43"/>
      <c r="M69" s="6"/>
      <c r="N69" s="43"/>
      <c r="O69" s="5"/>
      <c r="P69" s="5"/>
      <c r="Q69" s="5"/>
      <c r="R69" s="43"/>
      <c r="S69" s="43"/>
      <c r="T69" s="43">
        <f>T71+T70</f>
        <v>233000</v>
      </c>
      <c r="U69" s="7"/>
      <c r="V69" s="7"/>
      <c r="W69" s="7"/>
      <c r="X69" s="7"/>
      <c r="Y69" s="58"/>
      <c r="Z69" s="58"/>
      <c r="AA69" s="14"/>
      <c r="AB69" s="14"/>
    </row>
    <row r="70" spans="1:28" x14ac:dyDescent="0.25">
      <c r="A70" s="81"/>
      <c r="B70" s="81" t="s">
        <v>47</v>
      </c>
      <c r="C70" s="81" t="s">
        <v>149</v>
      </c>
      <c r="D70" s="81" t="s">
        <v>55</v>
      </c>
      <c r="E70" s="81" t="s">
        <v>172</v>
      </c>
      <c r="F70" s="82" t="s">
        <v>168</v>
      </c>
      <c r="G70" s="81" t="s">
        <v>152</v>
      </c>
      <c r="H70" s="35">
        <f>Pressure_100mm</f>
        <v>165</v>
      </c>
      <c r="I70" s="45">
        <v>640</v>
      </c>
      <c r="J70" s="39">
        <f>$I70*$H70</f>
        <v>105600</v>
      </c>
      <c r="K70" s="43">
        <f>$J70*K$1</f>
        <v>21120</v>
      </c>
      <c r="L70" s="43">
        <f>SUM($J70:$K70)*L$1</f>
        <v>19008</v>
      </c>
      <c r="M70" s="6">
        <f>IF($B70="piopiotahi",0.1,IF($B70="Corridor",0.075,IF($B70="Te Anau",0.05,"")))</f>
        <v>7.4999999999999997E-2</v>
      </c>
      <c r="N70" s="43">
        <f>SUM($J70:$L70)*$M70</f>
        <v>10929.6</v>
      </c>
      <c r="O70" s="5">
        <f t="shared" ref="O70:O103" si="102">O$1</f>
        <v>0.06</v>
      </c>
      <c r="P70" s="5">
        <f t="shared" ref="P70:Q128" si="103">P$1</f>
        <v>0.02</v>
      </c>
      <c r="Q70" s="5">
        <f t="shared" si="103"/>
        <v>0.06</v>
      </c>
      <c r="R70" s="43">
        <f>SUM($O70:$Q70)*SUM($J70:$L70,N70)</f>
        <v>21932.064000000002</v>
      </c>
      <c r="S70" s="43">
        <f>SUM(R70,$J70:$L70,$N70)*S$1</f>
        <v>35717.932800000002</v>
      </c>
      <c r="T70" s="43">
        <f>ROUNDUP(SUM($R70:$S70,$J70:$L70,$N70),-3)</f>
        <v>215000</v>
      </c>
      <c r="U70" s="7">
        <v>0</v>
      </c>
      <c r="V70" s="7">
        <f>$V$1+U70</f>
        <v>2022</v>
      </c>
      <c r="W70" s="7">
        <v>3</v>
      </c>
      <c r="X70" s="7">
        <f>W70+V70</f>
        <v>2025</v>
      </c>
      <c r="Y70" s="58" t="s">
        <v>112</v>
      </c>
      <c r="Z70" s="58"/>
      <c r="AA70" s="14"/>
      <c r="AB70" s="14"/>
    </row>
    <row r="71" spans="1:28" x14ac:dyDescent="0.25">
      <c r="A71" s="81"/>
      <c r="B71" s="81" t="s">
        <v>47</v>
      </c>
      <c r="C71" s="81" t="s">
        <v>149</v>
      </c>
      <c r="D71" s="81" t="s">
        <v>55</v>
      </c>
      <c r="E71" s="81" t="s">
        <v>173</v>
      </c>
      <c r="F71" s="82"/>
      <c r="G71" s="81" t="s">
        <v>339</v>
      </c>
      <c r="H71" s="35">
        <f>GateValve</f>
        <v>1750</v>
      </c>
      <c r="I71" s="36">
        <f>ROUNDUP(I70/135,0)</f>
        <v>5</v>
      </c>
      <c r="J71" s="39">
        <f>$I71*$H71</f>
        <v>8750</v>
      </c>
      <c r="K71" s="43">
        <f>$J71*K$1</f>
        <v>1750</v>
      </c>
      <c r="L71" s="43">
        <f>SUM($J71:$K71)*L$1</f>
        <v>1575</v>
      </c>
      <c r="M71" s="6">
        <f>IF($B71="piopiotahi",0.1,IF($B71="Corridor",0.075,IF($B71="Te Anau",0.05,"")))</f>
        <v>7.4999999999999997E-2</v>
      </c>
      <c r="N71" s="43">
        <f>SUM($J71:$L71)*$M71</f>
        <v>905.625</v>
      </c>
      <c r="O71" s="5">
        <f t="shared" si="102"/>
        <v>0.06</v>
      </c>
      <c r="P71" s="5">
        <f t="shared" si="103"/>
        <v>0.02</v>
      </c>
      <c r="Q71" s="5">
        <f t="shared" si="103"/>
        <v>0.06</v>
      </c>
      <c r="R71" s="43">
        <f>SUM($O71:$Q71)*SUM($J71:$L71,N71)</f>
        <v>1817.2875000000001</v>
      </c>
      <c r="S71" s="43">
        <f>SUM(R71,$J71:$L71,$N71)*S$1</f>
        <v>2959.5825000000004</v>
      </c>
      <c r="T71" s="43">
        <f>ROUNDUP(SUM($R71:$S71,$J71:$L71,$N71),-3)</f>
        <v>18000</v>
      </c>
      <c r="U71" s="7">
        <v>0</v>
      </c>
      <c r="V71" s="7">
        <f>$V$1+U71</f>
        <v>2022</v>
      </c>
      <c r="W71" s="7">
        <v>3</v>
      </c>
      <c r="X71" s="7">
        <f>W71+V71</f>
        <v>2025</v>
      </c>
      <c r="Y71" s="58" t="s">
        <v>112</v>
      </c>
      <c r="Z71" s="58"/>
      <c r="AA71" s="14"/>
      <c r="AB71" s="14"/>
    </row>
    <row r="72" spans="1:28" ht="45" x14ac:dyDescent="0.25">
      <c r="A72" s="14" t="s">
        <v>476</v>
      </c>
      <c r="B72" s="14" t="s">
        <v>47</v>
      </c>
      <c r="C72" s="14" t="s">
        <v>149</v>
      </c>
      <c r="D72" s="78" t="s">
        <v>55</v>
      </c>
      <c r="E72" s="14" t="s">
        <v>420</v>
      </c>
      <c r="F72" s="11" t="s">
        <v>463</v>
      </c>
      <c r="G72" s="14"/>
      <c r="H72" s="35"/>
      <c r="I72" s="45"/>
      <c r="J72" s="39"/>
      <c r="K72" s="43"/>
      <c r="L72" s="43"/>
      <c r="M72" s="6"/>
      <c r="N72" s="43"/>
      <c r="O72" s="5"/>
      <c r="P72" s="5"/>
      <c r="Q72" s="5"/>
      <c r="R72" s="43"/>
      <c r="S72" s="43"/>
      <c r="T72" s="43">
        <f>T73+T74+T75</f>
        <v>868000</v>
      </c>
      <c r="U72" s="7"/>
      <c r="V72" s="7"/>
      <c r="W72" s="7"/>
      <c r="X72" s="7"/>
      <c r="Y72" s="58"/>
      <c r="Z72" s="58"/>
      <c r="AA72" s="14"/>
      <c r="AB72" s="14"/>
    </row>
    <row r="73" spans="1:28" x14ac:dyDescent="0.25">
      <c r="A73" s="81"/>
      <c r="B73" s="81" t="s">
        <v>47</v>
      </c>
      <c r="C73" s="81" t="s">
        <v>149</v>
      </c>
      <c r="D73" s="81" t="s">
        <v>55</v>
      </c>
      <c r="E73" s="81" t="s">
        <v>167</v>
      </c>
      <c r="F73" s="82" t="s">
        <v>168</v>
      </c>
      <c r="G73" s="81" t="s">
        <v>152</v>
      </c>
      <c r="H73" s="35">
        <f>Gravity_150mm</f>
        <v>185</v>
      </c>
      <c r="I73" s="45">
        <v>300</v>
      </c>
      <c r="J73" s="39">
        <f t="shared" ref="J73:J80" si="104">$I73*$H73</f>
        <v>55500</v>
      </c>
      <c r="K73" s="43">
        <f t="shared" ref="K73:K80" si="105">$J73*K$1</f>
        <v>11100</v>
      </c>
      <c r="L73" s="43">
        <f t="shared" ref="L73:L80" si="106">SUM($J73:$K73)*L$1</f>
        <v>9990</v>
      </c>
      <c r="M73" s="6">
        <f t="shared" ref="M73:M80" si="107">IF($B73="piopiotahi",0.1,IF($B73="Corridor",0.075,IF($B73="Te Anau",0.05,"")))</f>
        <v>7.4999999999999997E-2</v>
      </c>
      <c r="N73" s="43">
        <f t="shared" ref="N73:N80" si="108">SUM($J73:$L73)*$M73</f>
        <v>5744.25</v>
      </c>
      <c r="O73" s="5">
        <f t="shared" si="102"/>
        <v>0.06</v>
      </c>
      <c r="P73" s="5">
        <f t="shared" si="103"/>
        <v>0.02</v>
      </c>
      <c r="Q73" s="5">
        <f t="shared" si="103"/>
        <v>0.06</v>
      </c>
      <c r="R73" s="43">
        <f t="shared" ref="R73:R80" si="109">SUM($O73:$Q73)*SUM($J73:$L73,N73)</f>
        <v>11526.795000000002</v>
      </c>
      <c r="S73" s="43">
        <f t="shared" ref="S73:S80" si="110">SUM(R73,$J73:$L73,$N73)*S$1</f>
        <v>18772.208999999999</v>
      </c>
      <c r="T73" s="43">
        <f t="shared" ref="T73:T80" si="111">ROUNDUP(SUM($R73:$S73,$J73:$L73,$N73),-3)</f>
        <v>113000</v>
      </c>
      <c r="U73" s="7">
        <v>0</v>
      </c>
      <c r="V73" s="7">
        <f t="shared" ref="V73:V75" si="112">$V$1+U73</f>
        <v>2022</v>
      </c>
      <c r="W73" s="7">
        <v>3</v>
      </c>
      <c r="X73" s="7">
        <f t="shared" ref="X73:X75" si="113">W73+V73</f>
        <v>2025</v>
      </c>
      <c r="Y73" s="58" t="s">
        <v>112</v>
      </c>
      <c r="Z73" s="58"/>
      <c r="AA73" s="14"/>
      <c r="AB73" s="14"/>
    </row>
    <row r="74" spans="1:28" x14ac:dyDescent="0.25">
      <c r="A74" s="81"/>
      <c r="B74" s="81" t="s">
        <v>47</v>
      </c>
      <c r="C74" s="81" t="s">
        <v>149</v>
      </c>
      <c r="D74" s="81" t="s">
        <v>55</v>
      </c>
      <c r="E74" s="81" t="s">
        <v>169</v>
      </c>
      <c r="F74" s="82"/>
      <c r="G74" s="81" t="s">
        <v>339</v>
      </c>
      <c r="H74" s="35">
        <f>Manhole_1050mm</f>
        <v>4700</v>
      </c>
      <c r="I74" s="36">
        <f>ROUNDUP(I73/80,0)</f>
        <v>4</v>
      </c>
      <c r="J74" s="39">
        <f t="shared" si="104"/>
        <v>18800</v>
      </c>
      <c r="K74" s="43">
        <f t="shared" si="105"/>
        <v>3760</v>
      </c>
      <c r="L74" s="43">
        <f t="shared" si="106"/>
        <v>3384</v>
      </c>
      <c r="M74" s="6">
        <f t="shared" si="107"/>
        <v>7.4999999999999997E-2</v>
      </c>
      <c r="N74" s="43">
        <f t="shared" si="108"/>
        <v>1945.8</v>
      </c>
      <c r="O74" s="5">
        <f t="shared" si="102"/>
        <v>0.06</v>
      </c>
      <c r="P74" s="5">
        <f t="shared" si="103"/>
        <v>0.02</v>
      </c>
      <c r="Q74" s="5">
        <f t="shared" si="103"/>
        <v>0.06</v>
      </c>
      <c r="R74" s="43">
        <f t="shared" si="109"/>
        <v>3904.5720000000001</v>
      </c>
      <c r="S74" s="43">
        <f t="shared" si="110"/>
        <v>6358.8744000000006</v>
      </c>
      <c r="T74" s="43">
        <f t="shared" si="111"/>
        <v>39000</v>
      </c>
      <c r="U74" s="7">
        <v>0</v>
      </c>
      <c r="V74" s="7">
        <f t="shared" si="112"/>
        <v>2022</v>
      </c>
      <c r="W74" s="7">
        <v>3</v>
      </c>
      <c r="X74" s="7">
        <f t="shared" si="113"/>
        <v>2025</v>
      </c>
      <c r="Y74" s="58" t="s">
        <v>112</v>
      </c>
      <c r="Z74" s="58"/>
      <c r="AA74" s="14"/>
      <c r="AB74" s="14"/>
    </row>
    <row r="75" spans="1:28" x14ac:dyDescent="0.25">
      <c r="A75" s="81"/>
      <c r="B75" s="81" t="s">
        <v>47</v>
      </c>
      <c r="C75" s="81" t="s">
        <v>149</v>
      </c>
      <c r="D75" s="81" t="s">
        <v>55</v>
      </c>
      <c r="E75" s="81" t="s">
        <v>170</v>
      </c>
      <c r="F75" s="82" t="s">
        <v>171</v>
      </c>
      <c r="G75" s="81" t="s">
        <v>339</v>
      </c>
      <c r="H75" s="35">
        <f>ToiletBlock</f>
        <v>352500</v>
      </c>
      <c r="I75" s="45">
        <v>1</v>
      </c>
      <c r="J75" s="39">
        <f t="shared" si="104"/>
        <v>352500</v>
      </c>
      <c r="K75" s="43">
        <f t="shared" si="105"/>
        <v>70500</v>
      </c>
      <c r="L75" s="43">
        <f t="shared" si="106"/>
        <v>63450</v>
      </c>
      <c r="M75" s="6">
        <f t="shared" si="107"/>
        <v>7.4999999999999997E-2</v>
      </c>
      <c r="N75" s="43">
        <f t="shared" si="108"/>
        <v>36483.75</v>
      </c>
      <c r="O75" s="5">
        <f t="shared" si="102"/>
        <v>0.06</v>
      </c>
      <c r="P75" s="5">
        <f t="shared" si="103"/>
        <v>0.02</v>
      </c>
      <c r="Q75" s="5">
        <f t="shared" si="103"/>
        <v>0.06</v>
      </c>
      <c r="R75" s="43">
        <f t="shared" si="109"/>
        <v>73210.725000000006</v>
      </c>
      <c r="S75" s="43">
        <f t="shared" si="110"/>
        <v>119228.895</v>
      </c>
      <c r="T75" s="43">
        <f t="shared" si="111"/>
        <v>716000</v>
      </c>
      <c r="U75" s="7">
        <v>0</v>
      </c>
      <c r="V75" s="7">
        <f t="shared" si="112"/>
        <v>2022</v>
      </c>
      <c r="W75" s="7">
        <v>3</v>
      </c>
      <c r="X75" s="7">
        <f t="shared" si="113"/>
        <v>2025</v>
      </c>
      <c r="Y75" s="58" t="s">
        <v>112</v>
      </c>
      <c r="Z75" s="58"/>
      <c r="AA75" s="14"/>
      <c r="AB75" s="14"/>
    </row>
    <row r="76" spans="1:28" s="72" customFormat="1" ht="45" x14ac:dyDescent="0.25">
      <c r="A76" s="14" t="s">
        <v>474</v>
      </c>
      <c r="B76" s="66" t="s">
        <v>47</v>
      </c>
      <c r="C76" s="66" t="s">
        <v>137</v>
      </c>
      <c r="D76" s="78" t="s">
        <v>55</v>
      </c>
      <c r="E76" s="14" t="s">
        <v>61</v>
      </c>
      <c r="F76" s="11" t="s">
        <v>185</v>
      </c>
      <c r="G76" s="66" t="s">
        <v>152</v>
      </c>
      <c r="H76" s="35">
        <f>Track_Wheelchair</f>
        <v>280</v>
      </c>
      <c r="I76" s="45">
        <v>1000</v>
      </c>
      <c r="J76" s="69">
        <f t="shared" si="104"/>
        <v>280000</v>
      </c>
      <c r="K76" s="66">
        <f t="shared" si="105"/>
        <v>56000</v>
      </c>
      <c r="L76" s="66">
        <f t="shared" si="106"/>
        <v>50400</v>
      </c>
      <c r="M76" s="68">
        <f t="shared" si="107"/>
        <v>7.4999999999999997E-2</v>
      </c>
      <c r="N76" s="66">
        <f t="shared" si="108"/>
        <v>28980</v>
      </c>
      <c r="O76" s="70">
        <f t="shared" si="102"/>
        <v>0.06</v>
      </c>
      <c r="P76" s="70">
        <f t="shared" si="103"/>
        <v>0.02</v>
      </c>
      <c r="Q76" s="70">
        <f t="shared" si="103"/>
        <v>0.06</v>
      </c>
      <c r="R76" s="66">
        <f t="shared" si="109"/>
        <v>58153.200000000004</v>
      </c>
      <c r="S76" s="66">
        <f t="shared" si="110"/>
        <v>94706.640000000014</v>
      </c>
      <c r="T76" s="66">
        <f t="shared" si="111"/>
        <v>569000</v>
      </c>
      <c r="U76" s="69">
        <v>15</v>
      </c>
      <c r="V76" s="69">
        <f>$V$1+U76</f>
        <v>2037</v>
      </c>
      <c r="W76" s="69">
        <v>2</v>
      </c>
      <c r="X76" s="69">
        <f>W76+V76</f>
        <v>2039</v>
      </c>
      <c r="Y76" s="71" t="s">
        <v>120</v>
      </c>
      <c r="Z76" s="71"/>
      <c r="AA76" s="66"/>
      <c r="AB76" s="67" t="s">
        <v>176</v>
      </c>
    </row>
    <row r="77" spans="1:28" ht="45" x14ac:dyDescent="0.25">
      <c r="A77" s="14" t="s">
        <v>473</v>
      </c>
      <c r="B77" s="14" t="s">
        <v>47</v>
      </c>
      <c r="C77" s="14" t="s">
        <v>137</v>
      </c>
      <c r="D77" s="78" t="s">
        <v>55</v>
      </c>
      <c r="E77" s="14" t="s">
        <v>62</v>
      </c>
      <c r="F77" s="11" t="s">
        <v>164</v>
      </c>
      <c r="G77" s="14" t="s">
        <v>152</v>
      </c>
      <c r="H77" s="35">
        <f>Track_Tramping</f>
        <v>400</v>
      </c>
      <c r="I77" s="45">
        <v>2400</v>
      </c>
      <c r="J77" s="39">
        <f t="shared" si="104"/>
        <v>960000</v>
      </c>
      <c r="K77" s="43">
        <f t="shared" si="105"/>
        <v>192000</v>
      </c>
      <c r="L77" s="43">
        <f t="shared" si="106"/>
        <v>172800</v>
      </c>
      <c r="M77" s="6">
        <f t="shared" si="107"/>
        <v>7.4999999999999997E-2</v>
      </c>
      <c r="N77" s="43">
        <f t="shared" si="108"/>
        <v>99360</v>
      </c>
      <c r="O77" s="5">
        <f t="shared" si="102"/>
        <v>0.06</v>
      </c>
      <c r="P77" s="5">
        <f t="shared" si="103"/>
        <v>0.02</v>
      </c>
      <c r="Q77" s="5">
        <f t="shared" si="103"/>
        <v>0.06</v>
      </c>
      <c r="R77" s="43">
        <f t="shared" si="109"/>
        <v>199382.40000000002</v>
      </c>
      <c r="S77" s="43">
        <f t="shared" si="110"/>
        <v>324708.47999999998</v>
      </c>
      <c r="T77" s="43">
        <f t="shared" si="111"/>
        <v>1949000</v>
      </c>
      <c r="U77" s="7">
        <v>15</v>
      </c>
      <c r="V77" s="7">
        <f>$V$1+U77</f>
        <v>2037</v>
      </c>
      <c r="W77" s="7">
        <v>2</v>
      </c>
      <c r="X77" s="7">
        <f>W77+V77</f>
        <v>2039</v>
      </c>
      <c r="Y77" s="58" t="s">
        <v>120</v>
      </c>
      <c r="Z77" s="58"/>
      <c r="AA77" s="14"/>
      <c r="AB77" s="11" t="s">
        <v>176</v>
      </c>
    </row>
    <row r="78" spans="1:28" ht="45" x14ac:dyDescent="0.25">
      <c r="A78" s="14" t="s">
        <v>471</v>
      </c>
      <c r="B78" s="14" t="s">
        <v>47</v>
      </c>
      <c r="C78" s="14" t="s">
        <v>137</v>
      </c>
      <c r="D78" s="78" t="s">
        <v>55</v>
      </c>
      <c r="E78" s="14" t="s">
        <v>467</v>
      </c>
      <c r="F78" s="11" t="s">
        <v>468</v>
      </c>
      <c r="G78" s="14" t="s">
        <v>339</v>
      </c>
      <c r="H78" s="35">
        <f>Bus_Shelter_Robust</f>
        <v>345000</v>
      </c>
      <c r="I78" s="45">
        <v>2</v>
      </c>
      <c r="J78" s="39">
        <f t="shared" si="104"/>
        <v>690000</v>
      </c>
      <c r="K78" s="43">
        <f t="shared" si="105"/>
        <v>138000</v>
      </c>
      <c r="L78" s="43">
        <f t="shared" si="106"/>
        <v>124200</v>
      </c>
      <c r="M78" s="6">
        <f t="shared" si="107"/>
        <v>7.4999999999999997E-2</v>
      </c>
      <c r="N78" s="43">
        <f t="shared" si="108"/>
        <v>71415</v>
      </c>
      <c r="O78" s="5">
        <f t="shared" si="102"/>
        <v>0.06</v>
      </c>
      <c r="P78" s="5">
        <f t="shared" si="103"/>
        <v>0.02</v>
      </c>
      <c r="Q78" s="5">
        <f t="shared" si="103"/>
        <v>0.06</v>
      </c>
      <c r="R78" s="43">
        <f t="shared" si="109"/>
        <v>143306.1</v>
      </c>
      <c r="S78" s="43">
        <f t="shared" si="110"/>
        <v>233384.22000000003</v>
      </c>
      <c r="T78" s="43">
        <f t="shared" si="111"/>
        <v>1401000</v>
      </c>
      <c r="U78" s="7">
        <v>15</v>
      </c>
      <c r="V78" s="7">
        <f>$V$1+U78</f>
        <v>2037</v>
      </c>
      <c r="W78" s="7">
        <v>2</v>
      </c>
      <c r="X78" s="7">
        <f>W78+V78</f>
        <v>2039</v>
      </c>
      <c r="Y78" s="58" t="s">
        <v>120</v>
      </c>
      <c r="Z78" s="58"/>
      <c r="AA78" s="14"/>
      <c r="AB78" s="11" t="s">
        <v>176</v>
      </c>
    </row>
    <row r="79" spans="1:28" ht="45" x14ac:dyDescent="0.25">
      <c r="A79" s="14" t="s">
        <v>472</v>
      </c>
      <c r="B79" s="14" t="s">
        <v>47</v>
      </c>
      <c r="C79" s="14" t="s">
        <v>137</v>
      </c>
      <c r="D79" s="78" t="s">
        <v>55</v>
      </c>
      <c r="E79" s="14" t="s">
        <v>469</v>
      </c>
      <c r="F79" s="11" t="s">
        <v>470</v>
      </c>
      <c r="G79" s="14" t="s">
        <v>110</v>
      </c>
      <c r="H79" s="35">
        <f>Motel_2star</f>
        <v>3600</v>
      </c>
      <c r="I79" s="45">
        <v>100</v>
      </c>
      <c r="J79" s="39">
        <f t="shared" si="104"/>
        <v>360000</v>
      </c>
      <c r="K79" s="43">
        <f t="shared" si="105"/>
        <v>72000</v>
      </c>
      <c r="L79" s="43">
        <f t="shared" si="106"/>
        <v>64800</v>
      </c>
      <c r="M79" s="6">
        <f t="shared" si="107"/>
        <v>7.4999999999999997E-2</v>
      </c>
      <c r="N79" s="43">
        <f t="shared" si="108"/>
        <v>37260</v>
      </c>
      <c r="O79" s="5">
        <f t="shared" si="102"/>
        <v>0.06</v>
      </c>
      <c r="P79" s="5">
        <f t="shared" si="103"/>
        <v>0.02</v>
      </c>
      <c r="Q79" s="5">
        <f t="shared" si="103"/>
        <v>0.06</v>
      </c>
      <c r="R79" s="43">
        <f t="shared" si="109"/>
        <v>74768.400000000009</v>
      </c>
      <c r="S79" s="43">
        <f t="shared" si="110"/>
        <v>121765.68000000001</v>
      </c>
      <c r="T79" s="43">
        <f t="shared" si="111"/>
        <v>731000</v>
      </c>
      <c r="U79" s="7">
        <v>15</v>
      </c>
      <c r="V79" s="7">
        <f>$V$1+U79</f>
        <v>2037</v>
      </c>
      <c r="W79" s="7">
        <v>2</v>
      </c>
      <c r="X79" s="7">
        <f>W79+V79</f>
        <v>2039</v>
      </c>
      <c r="Y79" s="58" t="s">
        <v>120</v>
      </c>
      <c r="Z79" s="58"/>
      <c r="AA79" s="14"/>
      <c r="AB79" s="11" t="s">
        <v>176</v>
      </c>
    </row>
    <row r="80" spans="1:28" ht="45" x14ac:dyDescent="0.25">
      <c r="A80" s="14" t="s">
        <v>454</v>
      </c>
      <c r="B80" s="14" t="s">
        <v>47</v>
      </c>
      <c r="C80" s="14" t="s">
        <v>149</v>
      </c>
      <c r="D80" s="78" t="s">
        <v>59</v>
      </c>
      <c r="E80" s="14" t="s">
        <v>490</v>
      </c>
      <c r="F80" s="11" t="s">
        <v>487</v>
      </c>
      <c r="G80" s="14" t="s">
        <v>339</v>
      </c>
      <c r="H80" s="35">
        <f>Knobs_Flat_WW</f>
        <v>1189500</v>
      </c>
      <c r="I80" s="45">
        <v>1</v>
      </c>
      <c r="J80" s="39">
        <f t="shared" si="104"/>
        <v>1189500</v>
      </c>
      <c r="K80" s="43">
        <f t="shared" si="105"/>
        <v>237900</v>
      </c>
      <c r="L80" s="43">
        <f t="shared" si="106"/>
        <v>214110</v>
      </c>
      <c r="M80" s="6">
        <f t="shared" si="107"/>
        <v>7.4999999999999997E-2</v>
      </c>
      <c r="N80" s="43">
        <f t="shared" si="108"/>
        <v>123113.25</v>
      </c>
      <c r="O80" s="5">
        <f t="shared" si="102"/>
        <v>0.06</v>
      </c>
      <c r="P80" s="5">
        <f t="shared" si="103"/>
        <v>0.02</v>
      </c>
      <c r="Q80" s="5">
        <f t="shared" si="103"/>
        <v>0.06</v>
      </c>
      <c r="R80" s="43">
        <f t="shared" si="109"/>
        <v>247047.25500000003</v>
      </c>
      <c r="S80" s="43">
        <f t="shared" si="110"/>
        <v>402334.10100000002</v>
      </c>
      <c r="T80" s="43">
        <f t="shared" si="111"/>
        <v>2415000</v>
      </c>
      <c r="U80" s="7">
        <v>15</v>
      </c>
      <c r="V80" s="7">
        <f t="shared" ref="V80" si="114">$V$1+U80</f>
        <v>2037</v>
      </c>
      <c r="W80" s="7">
        <v>2</v>
      </c>
      <c r="X80" s="7">
        <f t="shared" ref="X80" si="115">W80+V80</f>
        <v>2039</v>
      </c>
      <c r="Y80" s="58" t="s">
        <v>120</v>
      </c>
      <c r="Z80" s="58"/>
      <c r="AA80" s="14"/>
      <c r="AB80" s="14"/>
    </row>
    <row r="81" spans="1:28" ht="28.35" customHeight="1" x14ac:dyDescent="0.25">
      <c r="A81" s="14" t="s">
        <v>477</v>
      </c>
      <c r="B81" s="14" t="s">
        <v>47</v>
      </c>
      <c r="C81" s="14" t="s">
        <v>108</v>
      </c>
      <c r="D81" s="78" t="s">
        <v>59</v>
      </c>
      <c r="E81" s="14" t="s">
        <v>60</v>
      </c>
      <c r="F81" s="11" t="s">
        <v>485</v>
      </c>
      <c r="G81" s="14" t="s">
        <v>110</v>
      </c>
      <c r="H81" s="35">
        <f>Hotel3Star</f>
        <v>5800</v>
      </c>
      <c r="I81" s="45">
        <f>1540*0.3</f>
        <v>462</v>
      </c>
      <c r="J81" s="39">
        <f t="shared" si="0"/>
        <v>2679600</v>
      </c>
      <c r="K81" s="43">
        <f t="shared" si="1"/>
        <v>535920</v>
      </c>
      <c r="L81" s="43">
        <f t="shared" si="2"/>
        <v>482328</v>
      </c>
      <c r="M81" s="6">
        <f t="shared" si="9"/>
        <v>7.4999999999999997E-2</v>
      </c>
      <c r="N81" s="43">
        <f t="shared" si="11"/>
        <v>277338.59999999998</v>
      </c>
      <c r="O81" s="5">
        <v>0.1</v>
      </c>
      <c r="P81" s="5">
        <f t="shared" si="4"/>
        <v>0.02</v>
      </c>
      <c r="Q81" s="5">
        <f t="shared" si="4"/>
        <v>0.06</v>
      </c>
      <c r="R81" s="43">
        <f t="shared" ref="R81" si="116">SUM($O81:$Q81)*SUM($J81:$L81,N81)</f>
        <v>715533.58799999999</v>
      </c>
      <c r="S81" s="43">
        <f t="shared" ref="S81" si="117">SUM(R81,$J81:$L81,$N81)*S$1</f>
        <v>938144.03759999992</v>
      </c>
      <c r="T81" s="43">
        <f t="shared" si="14"/>
        <v>5629000</v>
      </c>
      <c r="U81" s="7">
        <v>15</v>
      </c>
      <c r="V81" s="7">
        <f t="shared" ref="V81:V83" si="118">$V$1+U81</f>
        <v>2037</v>
      </c>
      <c r="W81" s="7">
        <v>2</v>
      </c>
      <c r="X81" s="7">
        <f t="shared" ref="X81" si="119">W81+V81</f>
        <v>2039</v>
      </c>
      <c r="Y81" s="58" t="s">
        <v>120</v>
      </c>
      <c r="Z81" s="58"/>
      <c r="AA81" s="14"/>
      <c r="AB81" s="14"/>
    </row>
    <row r="82" spans="1:28" ht="28.35" customHeight="1" x14ac:dyDescent="0.25">
      <c r="A82" s="14" t="s">
        <v>478</v>
      </c>
      <c r="B82" s="14" t="s">
        <v>47</v>
      </c>
      <c r="C82" s="14" t="s">
        <v>108</v>
      </c>
      <c r="D82" s="78" t="s">
        <v>55</v>
      </c>
      <c r="E82" s="14" t="s">
        <v>58</v>
      </c>
      <c r="F82" s="11" t="s">
        <v>174</v>
      </c>
      <c r="G82" s="14" t="s">
        <v>152</v>
      </c>
      <c r="H82" s="79">
        <f>Motel_2star</f>
        <v>3600</v>
      </c>
      <c r="I82" s="80">
        <v>3000</v>
      </c>
      <c r="J82" s="39">
        <f>$I82*$H82</f>
        <v>10800000</v>
      </c>
      <c r="K82" s="43">
        <f>$J82*K$1</f>
        <v>2160000</v>
      </c>
      <c r="L82" s="43">
        <f>SUM($J82:$K82)*L$1</f>
        <v>1944000</v>
      </c>
      <c r="M82" s="6">
        <f>IF($B82="piopiotahi",0.1,IF($B82="Corridor",0.075,IF($B82="Te Anau",0.05,"")))</f>
        <v>7.4999999999999997E-2</v>
      </c>
      <c r="N82" s="43">
        <f>SUM($J82:$L82)*$M82</f>
        <v>1117800</v>
      </c>
      <c r="O82" s="5">
        <v>0.06</v>
      </c>
      <c r="P82" s="5">
        <f t="shared" si="103"/>
        <v>0.02</v>
      </c>
      <c r="Q82" s="5">
        <f t="shared" si="103"/>
        <v>0.06</v>
      </c>
      <c r="R82" s="43">
        <f>SUM($O82:$Q82)*SUM($J82:$L82,N82)</f>
        <v>2243052</v>
      </c>
      <c r="S82" s="43">
        <f>SUM(R82,$J82:$L82,$N82)*S$1</f>
        <v>3652970.4000000004</v>
      </c>
      <c r="T82" s="43">
        <f>ROUNDUP(SUM($R82:$S82,$J82:$L82,$N82),-3)</f>
        <v>21918000</v>
      </c>
      <c r="U82" s="7">
        <v>0</v>
      </c>
      <c r="V82" s="7">
        <f t="shared" ref="V82" si="120">$V$1+U82</f>
        <v>2022</v>
      </c>
      <c r="W82" s="7">
        <v>3</v>
      </c>
      <c r="X82" s="7">
        <f t="shared" ref="X82" si="121">W82+V82</f>
        <v>2025</v>
      </c>
      <c r="Y82" s="58" t="s">
        <v>112</v>
      </c>
      <c r="Z82" s="58"/>
      <c r="AA82" s="14"/>
      <c r="AB82" s="14"/>
    </row>
    <row r="83" spans="1:28" ht="60" x14ac:dyDescent="0.25">
      <c r="A83" s="14" t="s">
        <v>500</v>
      </c>
      <c r="B83" s="14" t="s">
        <v>47</v>
      </c>
      <c r="C83" s="14" t="s">
        <v>108</v>
      </c>
      <c r="D83" s="78" t="s">
        <v>51</v>
      </c>
      <c r="E83" s="14" t="s">
        <v>340</v>
      </c>
      <c r="F83" s="11" t="s">
        <v>488</v>
      </c>
      <c r="G83" s="14" t="s">
        <v>339</v>
      </c>
      <c r="H83" s="35">
        <f>Bus_Shelter_Basic+VaultedToilet</f>
        <v>69800</v>
      </c>
      <c r="I83" s="45">
        <v>5</v>
      </c>
      <c r="J83" s="39">
        <f t="shared" si="0"/>
        <v>349000</v>
      </c>
      <c r="K83" s="43">
        <f t="shared" si="1"/>
        <v>69800</v>
      </c>
      <c r="L83" s="43">
        <f t="shared" si="2"/>
        <v>62820</v>
      </c>
      <c r="M83" s="6">
        <f t="shared" si="9"/>
        <v>7.4999999999999997E-2</v>
      </c>
      <c r="N83" s="43">
        <f t="shared" si="11"/>
        <v>36121.5</v>
      </c>
      <c r="O83" s="5">
        <f t="shared" si="102"/>
        <v>0.06</v>
      </c>
      <c r="P83" s="5">
        <f t="shared" si="4"/>
        <v>0.02</v>
      </c>
      <c r="Q83" s="5">
        <f t="shared" si="4"/>
        <v>0.06</v>
      </c>
      <c r="R83" s="43">
        <f t="shared" si="12"/>
        <v>72483.810000000012</v>
      </c>
      <c r="S83" s="43">
        <f t="shared" si="13"/>
        <v>118045.06200000002</v>
      </c>
      <c r="T83" s="43">
        <f t="shared" si="14"/>
        <v>709000</v>
      </c>
      <c r="U83" s="7">
        <v>0</v>
      </c>
      <c r="V83" s="7">
        <f t="shared" si="118"/>
        <v>2022</v>
      </c>
      <c r="W83" s="7">
        <v>3</v>
      </c>
      <c r="X83" s="7">
        <f>W83+V83</f>
        <v>2025</v>
      </c>
      <c r="Y83" s="58" t="s">
        <v>112</v>
      </c>
      <c r="Z83" s="58"/>
      <c r="AA83" s="14"/>
      <c r="AB83" s="14"/>
    </row>
    <row r="84" spans="1:28" ht="76.5" customHeight="1" x14ac:dyDescent="0.25">
      <c r="A84" s="14" t="s">
        <v>503</v>
      </c>
      <c r="B84" s="14" t="s">
        <v>47</v>
      </c>
      <c r="C84" s="14" t="s">
        <v>108</v>
      </c>
      <c r="D84" s="78" t="s">
        <v>51</v>
      </c>
      <c r="E84" s="14" t="s">
        <v>348</v>
      </c>
      <c r="F84" s="11" t="s">
        <v>489</v>
      </c>
      <c r="G84" s="14" t="s">
        <v>339</v>
      </c>
      <c r="H84" s="35">
        <f>Bus_Shelter_Minor+VaultedToilet</f>
        <v>199800</v>
      </c>
      <c r="I84" s="45">
        <v>5</v>
      </c>
      <c r="J84" s="39">
        <f t="shared" si="0"/>
        <v>999000</v>
      </c>
      <c r="K84" s="43">
        <f t="shared" si="1"/>
        <v>199800</v>
      </c>
      <c r="L84" s="43">
        <f t="shared" si="2"/>
        <v>179820</v>
      </c>
      <c r="M84" s="6">
        <f t="shared" si="9"/>
        <v>7.4999999999999997E-2</v>
      </c>
      <c r="N84" s="43">
        <f t="shared" si="11"/>
        <v>103396.5</v>
      </c>
      <c r="O84" s="5">
        <f t="shared" si="102"/>
        <v>0.06</v>
      </c>
      <c r="P84" s="5">
        <f t="shared" si="4"/>
        <v>0.02</v>
      </c>
      <c r="Q84" s="5">
        <f t="shared" si="4"/>
        <v>0.06</v>
      </c>
      <c r="R84" s="43">
        <f t="shared" si="12"/>
        <v>207482.31000000003</v>
      </c>
      <c r="S84" s="43">
        <f t="shared" si="13"/>
        <v>337899.76200000005</v>
      </c>
      <c r="T84" s="43">
        <f t="shared" si="14"/>
        <v>2028000</v>
      </c>
      <c r="U84" s="7"/>
      <c r="V84" s="7"/>
      <c r="W84" s="7"/>
      <c r="X84" s="7"/>
      <c r="Y84" s="58"/>
      <c r="Z84" s="58"/>
      <c r="AA84" s="14"/>
      <c r="AB84" s="14"/>
    </row>
    <row r="85" spans="1:28" ht="30" x14ac:dyDescent="0.25">
      <c r="A85" s="14" t="s">
        <v>495</v>
      </c>
      <c r="B85" s="14" t="s">
        <v>47</v>
      </c>
      <c r="C85" s="14" t="s">
        <v>132</v>
      </c>
      <c r="D85" s="78" t="s">
        <v>52</v>
      </c>
      <c r="E85" s="14" t="s">
        <v>53</v>
      </c>
      <c r="F85" s="11" t="s">
        <v>491</v>
      </c>
      <c r="G85" s="14" t="s">
        <v>339</v>
      </c>
      <c r="H85" s="35">
        <f>National_Park_Entrance</f>
        <v>345000</v>
      </c>
      <c r="I85" s="45">
        <v>1</v>
      </c>
      <c r="J85" s="39">
        <f t="shared" si="0"/>
        <v>345000</v>
      </c>
      <c r="K85" s="43">
        <f t="shared" si="1"/>
        <v>69000</v>
      </c>
      <c r="L85" s="43">
        <f t="shared" si="2"/>
        <v>62100</v>
      </c>
      <c r="M85" s="6">
        <f t="shared" si="9"/>
        <v>7.4999999999999997E-2</v>
      </c>
      <c r="N85" s="43">
        <f t="shared" si="11"/>
        <v>35707.5</v>
      </c>
      <c r="O85" s="5">
        <f t="shared" si="102"/>
        <v>0.06</v>
      </c>
      <c r="P85" s="5">
        <f t="shared" si="4"/>
        <v>0.02</v>
      </c>
      <c r="Q85" s="5">
        <f t="shared" si="4"/>
        <v>0.06</v>
      </c>
      <c r="R85" s="43">
        <f t="shared" ref="R85" si="122">SUM($O85:$Q85)*SUM($J85:$L85,N85)</f>
        <v>71653.05</v>
      </c>
      <c r="S85" s="43">
        <f t="shared" ref="S85" si="123">SUM(R85,$J85:$L85,$N85)*S$1</f>
        <v>116692.11000000002</v>
      </c>
      <c r="T85" s="43">
        <f t="shared" si="14"/>
        <v>701000</v>
      </c>
      <c r="U85" s="7">
        <v>0</v>
      </c>
      <c r="V85" s="7">
        <f t="shared" ref="V85" si="124">$V$1+U85</f>
        <v>2022</v>
      </c>
      <c r="W85" s="7">
        <v>3</v>
      </c>
      <c r="X85" s="7">
        <f>W85+V85</f>
        <v>2025</v>
      </c>
      <c r="Y85" s="58" t="s">
        <v>112</v>
      </c>
      <c r="Z85" s="58"/>
      <c r="AA85" s="14"/>
      <c r="AB85" s="14"/>
    </row>
    <row r="86" spans="1:28" ht="30" x14ac:dyDescent="0.25">
      <c r="A86" s="14" t="s">
        <v>496</v>
      </c>
      <c r="B86" s="14" t="s">
        <v>47</v>
      </c>
      <c r="C86" s="14" t="s">
        <v>132</v>
      </c>
      <c r="D86" s="78" t="s">
        <v>52</v>
      </c>
      <c r="E86" s="14" t="s">
        <v>54</v>
      </c>
      <c r="F86" s="11" t="s">
        <v>492</v>
      </c>
      <c r="G86" s="14" t="s">
        <v>339</v>
      </c>
      <c r="H86" s="35">
        <f>900*(Metalled_Pavement)+Bus_Shelter_Robust+4*VaultedToilet</f>
        <v>659200</v>
      </c>
      <c r="I86" s="45">
        <v>1</v>
      </c>
      <c r="J86" s="39">
        <f>$I86*$H86</f>
        <v>659200</v>
      </c>
      <c r="K86" s="43">
        <f>$J86*K$1</f>
        <v>131840</v>
      </c>
      <c r="L86" s="43">
        <f>SUM($J86:$K86)*L$1</f>
        <v>118656</v>
      </c>
      <c r="M86" s="6">
        <f>IF($B86="piopiotahi",0.1,IF($B86="Corridor",0.075,IF($B86="Te Anau",0.05,"")))</f>
        <v>7.4999999999999997E-2</v>
      </c>
      <c r="N86" s="43">
        <f>SUM($J86:$L86)*$M86</f>
        <v>68227.199999999997</v>
      </c>
      <c r="O86" s="5">
        <f t="shared" si="102"/>
        <v>0.06</v>
      </c>
      <c r="P86" s="5">
        <f t="shared" si="103"/>
        <v>0.02</v>
      </c>
      <c r="Q86" s="5">
        <f t="shared" si="103"/>
        <v>0.06</v>
      </c>
      <c r="R86" s="43">
        <f>SUM($O86:$Q86)*SUM($J86:$L86,N86)</f>
        <v>136909.24799999999</v>
      </c>
      <c r="S86" s="43">
        <f>SUM(R86,$J86:$L86,$N86)*S$1</f>
        <v>222966.48960000003</v>
      </c>
      <c r="T86" s="43">
        <f>ROUNDUP(SUM($R86:$S86,$J86:$L86,$N86),-3)</f>
        <v>1338000</v>
      </c>
      <c r="U86" s="7"/>
      <c r="V86" s="7"/>
      <c r="W86" s="7"/>
      <c r="X86" s="7"/>
      <c r="Y86" s="58"/>
      <c r="Z86" s="58"/>
      <c r="AA86" s="14"/>
      <c r="AB86" s="14"/>
    </row>
    <row r="87" spans="1:28" ht="54" customHeight="1" x14ac:dyDescent="0.25">
      <c r="A87" s="14" t="s">
        <v>493</v>
      </c>
      <c r="B87" s="14" t="s">
        <v>47</v>
      </c>
      <c r="C87" s="14" t="s">
        <v>108</v>
      </c>
      <c r="D87" s="78" t="s">
        <v>48</v>
      </c>
      <c r="E87" s="14" t="s">
        <v>49</v>
      </c>
      <c r="F87" s="11" t="s">
        <v>502</v>
      </c>
      <c r="G87" s="14" t="s">
        <v>339</v>
      </c>
      <c r="H87" s="79">
        <f>HomerTunnel</f>
        <v>25000000</v>
      </c>
      <c r="I87" s="45">
        <v>1</v>
      </c>
      <c r="J87" s="39">
        <f>$I87*$H87</f>
        <v>25000000</v>
      </c>
      <c r="K87" s="43">
        <f>$J87*K$1</f>
        <v>5000000</v>
      </c>
      <c r="L87" s="43">
        <f>SUM($J87:$K87)*L$1</f>
        <v>4500000</v>
      </c>
      <c r="M87" s="6">
        <f>IF($B87="piopiotahi",0.1,IF($B87="Corridor",0.075,IF($B87="Te Anau",0.05,"")))</f>
        <v>7.4999999999999997E-2</v>
      </c>
      <c r="N87" s="43">
        <f>SUM($J87:$L87)*$M87</f>
        <v>2587500</v>
      </c>
      <c r="O87" s="5">
        <v>0.1</v>
      </c>
      <c r="P87" s="5">
        <f t="shared" si="103"/>
        <v>0.02</v>
      </c>
      <c r="Q87" s="5">
        <f t="shared" si="103"/>
        <v>0.06</v>
      </c>
      <c r="R87" s="43">
        <f>SUM($O87:$Q87)*SUM($J87:$L87,N87)</f>
        <v>6675750</v>
      </c>
      <c r="S87" s="43">
        <f>SUM(R87,$J87:$L87,$N87)*S$1</f>
        <v>8752650</v>
      </c>
      <c r="T87" s="43">
        <f>ROUNDUP(SUM($R87:$S87,$J87:$L87,$N87),-3)</f>
        <v>52516000</v>
      </c>
      <c r="U87" s="7">
        <v>0</v>
      </c>
      <c r="V87" s="7">
        <f>$V$1+U87</f>
        <v>2022</v>
      </c>
      <c r="W87" s="7">
        <v>4</v>
      </c>
      <c r="X87" s="7">
        <f>W87+V87</f>
        <v>2026</v>
      </c>
      <c r="Y87" s="58" t="s">
        <v>186</v>
      </c>
      <c r="Z87" s="58"/>
      <c r="AA87" s="14"/>
      <c r="AB87" s="14"/>
    </row>
    <row r="88" spans="1:28" ht="30" x14ac:dyDescent="0.25">
      <c r="A88" s="14" t="s">
        <v>494</v>
      </c>
      <c r="B88" s="14" t="s">
        <v>47</v>
      </c>
      <c r="C88" s="14" t="s">
        <v>137</v>
      </c>
      <c r="D88" s="78" t="s">
        <v>48</v>
      </c>
      <c r="E88" s="14" t="s">
        <v>50</v>
      </c>
      <c r="F88" s="11" t="s">
        <v>501</v>
      </c>
      <c r="G88" s="14" t="s">
        <v>339</v>
      </c>
      <c r="H88" s="35">
        <f>900*(Pavement_Developed)+Bus_Shelter_Robust+75*RetainingWall</f>
        <v>795000</v>
      </c>
      <c r="I88" s="45">
        <v>1</v>
      </c>
      <c r="J88" s="39">
        <f>$I88*$H88</f>
        <v>795000</v>
      </c>
      <c r="K88" s="43">
        <f>$J88*K$1</f>
        <v>159000</v>
      </c>
      <c r="L88" s="43">
        <f>SUM($J88:$K88)*L$1</f>
        <v>143100</v>
      </c>
      <c r="M88" s="6">
        <f>IF($B88="piopiotahi",0.1,IF($B88="Corridor",0.075,IF($B88="Te Anau",0.05,"")))</f>
        <v>7.4999999999999997E-2</v>
      </c>
      <c r="N88" s="43">
        <f>SUM($J88:$L88)*$M88</f>
        <v>82282.5</v>
      </c>
      <c r="O88" s="5">
        <f t="shared" si="102"/>
        <v>0.06</v>
      </c>
      <c r="P88" s="5">
        <f t="shared" si="103"/>
        <v>0.02</v>
      </c>
      <c r="Q88" s="5">
        <f t="shared" si="103"/>
        <v>0.06</v>
      </c>
      <c r="R88" s="43">
        <f>SUM($O88:$Q88)*SUM($J88:$L88,N88)</f>
        <v>165113.55000000002</v>
      </c>
      <c r="S88" s="43">
        <f>SUM(R88,$J88:$L88,$N88)*S$1</f>
        <v>268899.21000000002</v>
      </c>
      <c r="T88" s="43">
        <f>ROUNDUP(SUM($R88:$S88,$J88:$L88,$N88),-3)</f>
        <v>1614000</v>
      </c>
      <c r="U88" s="7">
        <v>0</v>
      </c>
      <c r="V88" s="7">
        <f>$V$1+U88</f>
        <v>2022</v>
      </c>
      <c r="W88" s="7">
        <v>3</v>
      </c>
      <c r="X88" s="7">
        <f>W88+V88</f>
        <v>2025</v>
      </c>
      <c r="Y88" s="58" t="s">
        <v>112</v>
      </c>
      <c r="Z88" s="58"/>
      <c r="AA88" s="14"/>
      <c r="AB88" s="14"/>
    </row>
    <row r="89" spans="1:28" ht="51" customHeight="1" x14ac:dyDescent="0.25">
      <c r="A89" s="14" t="s">
        <v>497</v>
      </c>
      <c r="B89" s="14" t="s">
        <v>47</v>
      </c>
      <c r="C89" s="14" t="s">
        <v>137</v>
      </c>
      <c r="D89" s="78" t="s">
        <v>52</v>
      </c>
      <c r="E89" s="14" t="s">
        <v>349</v>
      </c>
      <c r="F89" s="11" t="s">
        <v>459</v>
      </c>
      <c r="G89" s="14" t="s">
        <v>339</v>
      </c>
      <c r="H89" s="35"/>
      <c r="I89" s="45">
        <v>1</v>
      </c>
      <c r="J89" s="39"/>
      <c r="K89" s="43"/>
      <c r="L89" s="43"/>
      <c r="M89" s="6"/>
      <c r="N89" s="43"/>
      <c r="O89" s="5"/>
      <c r="P89" s="5"/>
      <c r="Q89" s="5"/>
      <c r="R89" s="43"/>
      <c r="S89" s="43"/>
      <c r="T89" s="43">
        <v>1000000</v>
      </c>
      <c r="U89" s="7">
        <v>0</v>
      </c>
      <c r="V89" s="7">
        <f t="shared" ref="V89" si="125">$V$1+U89</f>
        <v>2022</v>
      </c>
      <c r="W89" s="7">
        <v>3</v>
      </c>
      <c r="X89" s="7">
        <f t="shared" ref="X89" si="126">W89+V89</f>
        <v>2025</v>
      </c>
      <c r="Y89" s="58" t="s">
        <v>112</v>
      </c>
      <c r="Z89" s="58"/>
      <c r="AA89" s="14"/>
      <c r="AB89" s="14"/>
    </row>
    <row r="90" spans="1:28" ht="30" x14ac:dyDescent="0.25">
      <c r="A90" s="14" t="s">
        <v>498</v>
      </c>
      <c r="B90" s="14" t="s">
        <v>47</v>
      </c>
      <c r="C90" s="14" t="s">
        <v>137</v>
      </c>
      <c r="D90" s="78" t="s">
        <v>51</v>
      </c>
      <c r="E90" s="14" t="s">
        <v>187</v>
      </c>
      <c r="F90" s="11" t="s">
        <v>188</v>
      </c>
      <c r="G90" s="14" t="s">
        <v>152</v>
      </c>
      <c r="H90" s="35">
        <f>Track_Cycleway</f>
        <v>625</v>
      </c>
      <c r="I90" s="45">
        <v>12700</v>
      </c>
      <c r="J90" s="39">
        <f>$I90*$H90</f>
        <v>7937500</v>
      </c>
      <c r="K90" s="43">
        <f>$J90*K$1</f>
        <v>1587500</v>
      </c>
      <c r="L90" s="43">
        <f>SUM($J90:$K90)*L$1</f>
        <v>1428750</v>
      </c>
      <c r="M90" s="6">
        <f>IF($B90="piopiotahi",0.1,IF($B90="Corridor",0.075,IF($B90="Te Anau",0.05,"")))</f>
        <v>7.4999999999999997E-2</v>
      </c>
      <c r="N90" s="43">
        <f>SUM($J90:$L90)*$M90</f>
        <v>821531.25</v>
      </c>
      <c r="O90" s="5">
        <f t="shared" si="102"/>
        <v>0.06</v>
      </c>
      <c r="P90" s="5">
        <f t="shared" si="103"/>
        <v>0.02</v>
      </c>
      <c r="Q90" s="5">
        <f t="shared" si="103"/>
        <v>0.06</v>
      </c>
      <c r="R90" s="43">
        <f>SUM($O90:$Q90)*SUM($J90:$L90,N90)</f>
        <v>1648539.3750000002</v>
      </c>
      <c r="S90" s="43">
        <f>SUM(R90,$J90:$L90,$N90)*S$1</f>
        <v>2684764.125</v>
      </c>
      <c r="T90" s="43">
        <f>ROUNDUP(SUM($R90:$S90,$J90:$L90,$N90),-3)</f>
        <v>16109000</v>
      </c>
      <c r="U90" s="7">
        <v>0</v>
      </c>
      <c r="V90" s="7">
        <f t="shared" ref="V90:V91" si="127">$V$1+U90</f>
        <v>2022</v>
      </c>
      <c r="W90" s="7">
        <v>3</v>
      </c>
      <c r="X90" s="7">
        <f t="shared" ref="X90:X91" si="128">W90+V90</f>
        <v>2025</v>
      </c>
      <c r="Y90" s="58" t="s">
        <v>112</v>
      </c>
      <c r="Z90" s="58"/>
      <c r="AA90" s="14"/>
      <c r="AB90" s="14"/>
    </row>
    <row r="91" spans="1:28" ht="30" x14ac:dyDescent="0.25">
      <c r="A91" s="14" t="s">
        <v>499</v>
      </c>
      <c r="B91" s="14" t="s">
        <v>47</v>
      </c>
      <c r="C91" s="14" t="s">
        <v>137</v>
      </c>
      <c r="D91" s="78" t="s">
        <v>51</v>
      </c>
      <c r="E91" s="14" t="s">
        <v>189</v>
      </c>
      <c r="F91" s="11" t="s">
        <v>188</v>
      </c>
      <c r="G91" s="14" t="s">
        <v>152</v>
      </c>
      <c r="H91" s="35">
        <f>Track_Cycleway</f>
        <v>625</v>
      </c>
      <c r="I91" s="45">
        <v>29500</v>
      </c>
      <c r="J91" s="39">
        <f>$I91*$H91</f>
        <v>18437500</v>
      </c>
      <c r="K91" s="43">
        <f>$J91*K$1</f>
        <v>3687500</v>
      </c>
      <c r="L91" s="43">
        <f>SUM($J91:$K91)*L$1</f>
        <v>3318750</v>
      </c>
      <c r="M91" s="6">
        <f>IF($B91="piopiotahi",0.1,IF($B91="Corridor",0.075,IF($B91="Te Anau",0.05,"")))</f>
        <v>7.4999999999999997E-2</v>
      </c>
      <c r="N91" s="43">
        <f>SUM($J91:$L91)*$M91</f>
        <v>1908281.25</v>
      </c>
      <c r="O91" s="5">
        <f t="shared" si="102"/>
        <v>0.06</v>
      </c>
      <c r="P91" s="5">
        <f t="shared" si="103"/>
        <v>0.02</v>
      </c>
      <c r="Q91" s="5">
        <f t="shared" si="103"/>
        <v>0.06</v>
      </c>
      <c r="R91" s="43">
        <f>SUM($O91:$Q91)*SUM($J91:$L91,N91)</f>
        <v>3829284.3750000005</v>
      </c>
      <c r="S91" s="43">
        <f>SUM(R91,$J91:$L91,$N91)*S$1</f>
        <v>6236263.125</v>
      </c>
      <c r="T91" s="43">
        <f>ROUNDUP(SUM($R91:$S91,$J91:$L91,$N91),-3)</f>
        <v>37418000</v>
      </c>
      <c r="U91" s="7">
        <v>0</v>
      </c>
      <c r="V91" s="7">
        <f t="shared" si="127"/>
        <v>2022</v>
      </c>
      <c r="W91" s="7">
        <v>3</v>
      </c>
      <c r="X91" s="7">
        <f t="shared" si="128"/>
        <v>2025</v>
      </c>
      <c r="Y91" s="58" t="s">
        <v>112</v>
      </c>
      <c r="Z91" s="58"/>
      <c r="AA91" s="14"/>
      <c r="AB91" s="14"/>
    </row>
    <row r="92" spans="1:28" ht="58.5" customHeight="1" x14ac:dyDescent="0.25">
      <c r="A92" s="14" t="s">
        <v>510</v>
      </c>
      <c r="B92" s="14" t="s">
        <v>47</v>
      </c>
      <c r="C92" s="14" t="s">
        <v>137</v>
      </c>
      <c r="D92" s="78" t="s">
        <v>63</v>
      </c>
      <c r="E92" s="14" t="s">
        <v>64</v>
      </c>
      <c r="F92" s="11" t="s">
        <v>175</v>
      </c>
      <c r="G92" s="14" t="s">
        <v>110</v>
      </c>
      <c r="H92" s="35">
        <f>Experience_Hub</f>
        <v>5000</v>
      </c>
      <c r="I92" s="45">
        <v>200</v>
      </c>
      <c r="J92" s="39">
        <f>$I92*$H92</f>
        <v>1000000</v>
      </c>
      <c r="K92" s="43">
        <f>$J92*K$1</f>
        <v>200000</v>
      </c>
      <c r="L92" s="43">
        <f>SUM($J92:$K92)*L$1</f>
        <v>180000</v>
      </c>
      <c r="M92" s="6">
        <f>IF($B92="piopiotahi",0.1,IF($B92="Corridor",0.075,IF($B92="Te Anau",0.05,"")))</f>
        <v>7.4999999999999997E-2</v>
      </c>
      <c r="N92" s="43">
        <f>SUM($J92:$L92)*$M92</f>
        <v>103500</v>
      </c>
      <c r="O92" s="5">
        <f t="shared" si="102"/>
        <v>0.06</v>
      </c>
      <c r="P92" s="5">
        <f t="shared" si="103"/>
        <v>0.02</v>
      </c>
      <c r="Q92" s="5">
        <f t="shared" si="103"/>
        <v>0.06</v>
      </c>
      <c r="R92" s="43">
        <f>SUM($O92:$Q92)*SUM($J92:$L92,N92)</f>
        <v>207690.00000000003</v>
      </c>
      <c r="S92" s="43">
        <f>SUM(R92,$J92:$L92,$N92)*S$1</f>
        <v>338238</v>
      </c>
      <c r="T92" s="43">
        <f>ROUNDUP(SUM($R92:$S92,$J92:$L92,$N92),-3)</f>
        <v>2030000</v>
      </c>
      <c r="U92" s="7">
        <v>0</v>
      </c>
      <c r="V92" s="7">
        <f t="shared" ref="V92" si="129">$V$1+U92</f>
        <v>2022</v>
      </c>
      <c r="W92" s="7">
        <v>3</v>
      </c>
      <c r="X92" s="7">
        <f t="shared" ref="X92" si="130">W92+V92</f>
        <v>2025</v>
      </c>
      <c r="Y92" s="58" t="s">
        <v>112</v>
      </c>
      <c r="Z92" s="58"/>
      <c r="AA92" s="14"/>
      <c r="AB92" s="11" t="s">
        <v>176</v>
      </c>
    </row>
    <row r="93" spans="1:28" ht="45" x14ac:dyDescent="0.25">
      <c r="A93" s="14" t="s">
        <v>511</v>
      </c>
      <c r="B93" s="14" t="s">
        <v>47</v>
      </c>
      <c r="C93" s="14" t="s">
        <v>132</v>
      </c>
      <c r="D93" s="78" t="s">
        <v>63</v>
      </c>
      <c r="E93" s="14" t="s">
        <v>177</v>
      </c>
      <c r="F93" s="11" t="s">
        <v>178</v>
      </c>
      <c r="G93" s="14" t="s">
        <v>179</v>
      </c>
      <c r="H93" s="35">
        <f>Metalled_Pavement</f>
        <v>190</v>
      </c>
      <c r="I93" s="45">
        <v>500</v>
      </c>
      <c r="J93" s="39">
        <f>$I93*$H93</f>
        <v>95000</v>
      </c>
      <c r="K93" s="43">
        <f>$J93*K$1</f>
        <v>19000</v>
      </c>
      <c r="L93" s="43">
        <f>SUM($J93:$K93)*L$1</f>
        <v>17100</v>
      </c>
      <c r="M93" s="6">
        <f>IF($B93="piopiotahi",0.1,IF($B93="Corridor",0.075,IF($B93="Te Anau",0.05,"")))</f>
        <v>7.4999999999999997E-2</v>
      </c>
      <c r="N93" s="43">
        <f>SUM($J93:$L93)*$M93</f>
        <v>9832.5</v>
      </c>
      <c r="O93" s="5">
        <f>O$1</f>
        <v>0.06</v>
      </c>
      <c r="P93" s="5">
        <f>P$1</f>
        <v>0.02</v>
      </c>
      <c r="Q93" s="5">
        <f>Q$1</f>
        <v>0.06</v>
      </c>
      <c r="R93" s="43">
        <f>SUM($O93:$Q93)*SUM($J93:$L93,N93)</f>
        <v>19730.550000000003</v>
      </c>
      <c r="S93" s="43">
        <f>SUM(R93,$J93:$L93,$N93)*S$1</f>
        <v>32132.61</v>
      </c>
      <c r="T93" s="43">
        <f>ROUNDUP(SUM($R93:$S93,$J93:$L93,$N93),-3)</f>
        <v>193000</v>
      </c>
      <c r="U93" s="7">
        <v>1</v>
      </c>
      <c r="V93" s="7">
        <f>$V$1+U93</f>
        <v>2023</v>
      </c>
      <c r="W93" s="7">
        <v>4</v>
      </c>
      <c r="X93" s="7">
        <f>W93+V93</f>
        <v>2027</v>
      </c>
      <c r="Y93" s="58" t="s">
        <v>180</v>
      </c>
      <c r="Z93" s="58"/>
      <c r="AA93" s="14"/>
      <c r="AB93" s="11" t="s">
        <v>176</v>
      </c>
    </row>
    <row r="94" spans="1:28" ht="32.450000000000003" customHeight="1" x14ac:dyDescent="0.25">
      <c r="A94" s="14" t="s">
        <v>512</v>
      </c>
      <c r="B94" s="14" t="s">
        <v>47</v>
      </c>
      <c r="C94" s="14" t="s">
        <v>149</v>
      </c>
      <c r="D94" s="78" t="s">
        <v>63</v>
      </c>
      <c r="E94" s="14" t="s">
        <v>181</v>
      </c>
      <c r="F94" s="11" t="s">
        <v>504</v>
      </c>
      <c r="G94" s="14" t="s">
        <v>339</v>
      </c>
      <c r="H94" s="35">
        <f>ToiletBlock</f>
        <v>352500</v>
      </c>
      <c r="I94" s="45">
        <v>1</v>
      </c>
      <c r="J94" s="39">
        <f t="shared" si="0"/>
        <v>352500</v>
      </c>
      <c r="K94" s="43">
        <f t="shared" si="1"/>
        <v>70500</v>
      </c>
      <c r="L94" s="43">
        <f t="shared" si="2"/>
        <v>63450</v>
      </c>
      <c r="M94" s="6">
        <f t="shared" si="9"/>
        <v>7.4999999999999997E-2</v>
      </c>
      <c r="N94" s="43">
        <f t="shared" si="11"/>
        <v>36483.75</v>
      </c>
      <c r="O94" s="5">
        <f t="shared" si="102"/>
        <v>0.06</v>
      </c>
      <c r="P94" s="5">
        <f t="shared" si="103"/>
        <v>0.02</v>
      </c>
      <c r="Q94" s="5">
        <f t="shared" si="103"/>
        <v>0.06</v>
      </c>
      <c r="R94" s="43">
        <f t="shared" ref="R94" si="131">SUM($O94:$Q94)*SUM($J94:$L94,N94)</f>
        <v>73210.725000000006</v>
      </c>
      <c r="S94" s="43">
        <f t="shared" si="13"/>
        <v>119228.895</v>
      </c>
      <c r="T94" s="43">
        <f t="shared" si="14"/>
        <v>716000</v>
      </c>
      <c r="U94" s="7"/>
      <c r="V94" s="7"/>
      <c r="W94" s="7"/>
      <c r="X94" s="7"/>
      <c r="Y94" s="58"/>
      <c r="Z94" s="58"/>
      <c r="AA94" s="14"/>
      <c r="AB94" s="14"/>
    </row>
    <row r="95" spans="1:28" ht="30" x14ac:dyDescent="0.25">
      <c r="A95" s="14" t="s">
        <v>513</v>
      </c>
      <c r="B95" s="14" t="s">
        <v>47</v>
      </c>
      <c r="C95" s="14" t="s">
        <v>149</v>
      </c>
      <c r="D95" s="78" t="s">
        <v>63</v>
      </c>
      <c r="E95" s="14" t="s">
        <v>182</v>
      </c>
      <c r="F95" s="11" t="s">
        <v>508</v>
      </c>
      <c r="G95" s="14" t="s">
        <v>339</v>
      </c>
      <c r="H95" s="35">
        <f>PW_Treatment</f>
        <v>650000</v>
      </c>
      <c r="I95" s="45">
        <v>1</v>
      </c>
      <c r="J95" s="39">
        <f t="shared" si="0"/>
        <v>650000</v>
      </c>
      <c r="K95" s="43">
        <f t="shared" si="1"/>
        <v>130000</v>
      </c>
      <c r="L95" s="43">
        <f t="shared" si="2"/>
        <v>117000</v>
      </c>
      <c r="M95" s="6">
        <f t="shared" si="9"/>
        <v>7.4999999999999997E-2</v>
      </c>
      <c r="N95" s="43">
        <f t="shared" si="11"/>
        <v>67275</v>
      </c>
      <c r="O95" s="5">
        <f t="shared" si="102"/>
        <v>0.06</v>
      </c>
      <c r="P95" s="5">
        <f t="shared" si="103"/>
        <v>0.02</v>
      </c>
      <c r="Q95" s="5">
        <f t="shared" si="103"/>
        <v>0.06</v>
      </c>
      <c r="R95" s="43">
        <f t="shared" ref="R95" si="132">SUM($O95:$Q95)*SUM($J95:$L95,N95)</f>
        <v>134998.5</v>
      </c>
      <c r="S95" s="43">
        <f t="shared" ref="S95" si="133">SUM(R95,$J95:$L95,$N95)*S$1</f>
        <v>219854.7</v>
      </c>
      <c r="T95" s="43">
        <f t="shared" si="14"/>
        <v>1320000</v>
      </c>
      <c r="U95" s="7"/>
      <c r="V95" s="7"/>
      <c r="W95" s="7"/>
      <c r="X95" s="7"/>
      <c r="Y95" s="58"/>
      <c r="Z95" s="58"/>
      <c r="AA95" s="14"/>
      <c r="AB95" s="14"/>
    </row>
    <row r="96" spans="1:28" ht="60" x14ac:dyDescent="0.25">
      <c r="A96" s="14" t="s">
        <v>514</v>
      </c>
      <c r="B96" s="14" t="s">
        <v>47</v>
      </c>
      <c r="C96" s="14" t="s">
        <v>43</v>
      </c>
      <c r="D96" s="78" t="s">
        <v>63</v>
      </c>
      <c r="E96" s="14" t="s">
        <v>507</v>
      </c>
      <c r="F96" s="11" t="s">
        <v>522</v>
      </c>
      <c r="G96" s="14" t="s">
        <v>339</v>
      </c>
      <c r="H96" s="35">
        <f>Turbine</f>
        <v>1100000</v>
      </c>
      <c r="I96" s="45">
        <v>1</v>
      </c>
      <c r="J96" s="39">
        <f t="shared" si="0"/>
        <v>1100000</v>
      </c>
      <c r="K96" s="43">
        <f t="shared" si="1"/>
        <v>220000</v>
      </c>
      <c r="L96" s="43">
        <f t="shared" si="2"/>
        <v>198000</v>
      </c>
      <c r="M96" s="6">
        <f t="shared" si="9"/>
        <v>7.4999999999999997E-2</v>
      </c>
      <c r="N96" s="43">
        <f t="shared" si="11"/>
        <v>113850</v>
      </c>
      <c r="O96" s="5">
        <f t="shared" si="102"/>
        <v>0.06</v>
      </c>
      <c r="P96" s="5">
        <f t="shared" si="103"/>
        <v>0.02</v>
      </c>
      <c r="Q96" s="5">
        <f t="shared" si="103"/>
        <v>0.06</v>
      </c>
      <c r="R96" s="43">
        <f t="shared" ref="R96" si="134">SUM($O96:$Q96)*SUM($J96:$L96,N96)</f>
        <v>228459.00000000003</v>
      </c>
      <c r="S96" s="43">
        <f t="shared" ref="S96" si="135">SUM(R96,$J96:$L96,$N96)*S$1</f>
        <v>372061.80000000005</v>
      </c>
      <c r="T96" s="43">
        <f t="shared" si="14"/>
        <v>2233000</v>
      </c>
      <c r="U96" s="7"/>
      <c r="V96" s="7"/>
      <c r="W96" s="7"/>
      <c r="X96" s="7"/>
      <c r="Y96" s="58"/>
      <c r="Z96" s="58"/>
      <c r="AA96" s="14"/>
      <c r="AB96" s="14"/>
    </row>
    <row r="97" spans="1:28" ht="45" x14ac:dyDescent="0.25">
      <c r="A97" s="14" t="s">
        <v>515</v>
      </c>
      <c r="B97" s="14" t="s">
        <v>47</v>
      </c>
      <c r="C97" s="14" t="s">
        <v>137</v>
      </c>
      <c r="D97" s="78" t="s">
        <v>63</v>
      </c>
      <c r="E97" s="14" t="s">
        <v>65</v>
      </c>
      <c r="F97" s="11" t="s">
        <v>183</v>
      </c>
      <c r="G97" s="14" t="s">
        <v>152</v>
      </c>
      <c r="H97" s="35">
        <f>Track_Tramping</f>
        <v>400</v>
      </c>
      <c r="I97" s="45">
        <f>Corridor_30112020!I3/2</f>
        <v>3100</v>
      </c>
      <c r="J97" s="39">
        <f t="shared" si="0"/>
        <v>1240000</v>
      </c>
      <c r="K97" s="43">
        <f t="shared" si="1"/>
        <v>248000</v>
      </c>
      <c r="L97" s="43">
        <f t="shared" si="2"/>
        <v>223200</v>
      </c>
      <c r="M97" s="6">
        <f t="shared" si="9"/>
        <v>7.4999999999999997E-2</v>
      </c>
      <c r="N97" s="43">
        <f t="shared" si="11"/>
        <v>128340</v>
      </c>
      <c r="O97" s="5">
        <f t="shared" si="102"/>
        <v>0.06</v>
      </c>
      <c r="P97" s="5">
        <f t="shared" si="103"/>
        <v>0.02</v>
      </c>
      <c r="Q97" s="5">
        <f t="shared" si="103"/>
        <v>0.06</v>
      </c>
      <c r="R97" s="43">
        <f t="shared" ref="R97:R100" si="136">SUM($O97:$Q97)*SUM($J97:$L97,N97)</f>
        <v>257535.60000000003</v>
      </c>
      <c r="S97" s="43">
        <f t="shared" ref="S97:S100" si="137">SUM(R97,$J97:$L97,$N97)*S$1</f>
        <v>419415.12000000005</v>
      </c>
      <c r="T97" s="43">
        <f t="shared" si="14"/>
        <v>2517000</v>
      </c>
      <c r="U97" s="7">
        <v>0</v>
      </c>
      <c r="V97" s="7">
        <f t="shared" ref="V97:V100" si="138">$V$1+U97</f>
        <v>2022</v>
      </c>
      <c r="W97" s="7">
        <v>3</v>
      </c>
      <c r="X97" s="7">
        <f t="shared" ref="X97:X100" si="139">W97+V97</f>
        <v>2025</v>
      </c>
      <c r="Y97" s="58" t="s">
        <v>112</v>
      </c>
      <c r="Z97" s="58"/>
      <c r="AA97" s="14"/>
      <c r="AB97" s="11" t="s">
        <v>176</v>
      </c>
    </row>
    <row r="98" spans="1:28" ht="45" x14ac:dyDescent="0.25">
      <c r="A98" s="14" t="s">
        <v>516</v>
      </c>
      <c r="B98" s="14" t="s">
        <v>47</v>
      </c>
      <c r="C98" s="14" t="s">
        <v>137</v>
      </c>
      <c r="D98" s="78" t="s">
        <v>63</v>
      </c>
      <c r="E98" s="14" t="s">
        <v>66</v>
      </c>
      <c r="F98" s="11" t="s">
        <v>183</v>
      </c>
      <c r="G98" s="14" t="s">
        <v>152</v>
      </c>
      <c r="H98" s="35">
        <f>Track_Tramping</f>
        <v>400</v>
      </c>
      <c r="I98" s="45">
        <f>Corridor_30112020!K4*0.75</f>
        <v>2850</v>
      </c>
      <c r="J98" s="39">
        <f t="shared" si="0"/>
        <v>1140000</v>
      </c>
      <c r="K98" s="43">
        <f t="shared" si="1"/>
        <v>228000</v>
      </c>
      <c r="L98" s="43">
        <f t="shared" si="2"/>
        <v>205200</v>
      </c>
      <c r="M98" s="6">
        <f t="shared" si="9"/>
        <v>7.4999999999999997E-2</v>
      </c>
      <c r="N98" s="43">
        <f t="shared" si="11"/>
        <v>117990</v>
      </c>
      <c r="O98" s="5">
        <f t="shared" si="102"/>
        <v>0.06</v>
      </c>
      <c r="P98" s="5">
        <f t="shared" si="103"/>
        <v>0.02</v>
      </c>
      <c r="Q98" s="5">
        <f t="shared" si="103"/>
        <v>0.06</v>
      </c>
      <c r="R98" s="43">
        <f t="shared" si="136"/>
        <v>236766.60000000003</v>
      </c>
      <c r="S98" s="43">
        <f t="shared" si="137"/>
        <v>385591.32000000007</v>
      </c>
      <c r="T98" s="43">
        <f t="shared" si="14"/>
        <v>2314000</v>
      </c>
      <c r="U98" s="7">
        <v>0</v>
      </c>
      <c r="V98" s="7">
        <f t="shared" si="138"/>
        <v>2022</v>
      </c>
      <c r="W98" s="7">
        <v>3</v>
      </c>
      <c r="X98" s="7">
        <f t="shared" si="139"/>
        <v>2025</v>
      </c>
      <c r="Y98" s="58" t="s">
        <v>112</v>
      </c>
      <c r="Z98" s="58"/>
      <c r="AA98" s="14"/>
      <c r="AB98" s="11" t="s">
        <v>176</v>
      </c>
    </row>
    <row r="99" spans="1:28" ht="45" x14ac:dyDescent="0.25">
      <c r="A99" s="14" t="s">
        <v>517</v>
      </c>
      <c r="B99" s="14" t="s">
        <v>47</v>
      </c>
      <c r="C99" s="14" t="s">
        <v>137</v>
      </c>
      <c r="D99" s="78" t="s">
        <v>63</v>
      </c>
      <c r="E99" s="14" t="s">
        <v>67</v>
      </c>
      <c r="F99" s="11" t="s">
        <v>183</v>
      </c>
      <c r="G99" s="14" t="s">
        <v>152</v>
      </c>
      <c r="H99" s="35">
        <f>Track_Tramping</f>
        <v>400</v>
      </c>
      <c r="I99" s="45">
        <f>Corridor_30112020!I5</f>
        <v>2300</v>
      </c>
      <c r="J99" s="39">
        <f t="shared" si="0"/>
        <v>920000</v>
      </c>
      <c r="K99" s="43">
        <f t="shared" si="1"/>
        <v>184000</v>
      </c>
      <c r="L99" s="43">
        <f t="shared" si="2"/>
        <v>165600</v>
      </c>
      <c r="M99" s="6">
        <f t="shared" si="9"/>
        <v>7.4999999999999997E-2</v>
      </c>
      <c r="N99" s="43">
        <f t="shared" si="11"/>
        <v>95220</v>
      </c>
      <c r="O99" s="5">
        <f t="shared" si="102"/>
        <v>0.06</v>
      </c>
      <c r="P99" s="5">
        <f t="shared" si="103"/>
        <v>0.02</v>
      </c>
      <c r="Q99" s="5">
        <f t="shared" si="103"/>
        <v>0.06</v>
      </c>
      <c r="R99" s="43">
        <f t="shared" si="136"/>
        <v>191074.80000000002</v>
      </c>
      <c r="S99" s="43">
        <f t="shared" si="137"/>
        <v>311178.96000000002</v>
      </c>
      <c r="T99" s="43">
        <f t="shared" si="14"/>
        <v>1868000</v>
      </c>
      <c r="U99" s="7">
        <v>0</v>
      </c>
      <c r="V99" s="7">
        <f t="shared" si="138"/>
        <v>2022</v>
      </c>
      <c r="W99" s="7">
        <v>3</v>
      </c>
      <c r="X99" s="7">
        <f t="shared" si="139"/>
        <v>2025</v>
      </c>
      <c r="Y99" s="58" t="s">
        <v>112</v>
      </c>
      <c r="Z99" s="58"/>
      <c r="AA99" s="14"/>
      <c r="AB99" s="11" t="s">
        <v>176</v>
      </c>
    </row>
    <row r="100" spans="1:28" ht="45" x14ac:dyDescent="0.25">
      <c r="A100" s="14" t="s">
        <v>518</v>
      </c>
      <c r="B100" s="14" t="s">
        <v>47</v>
      </c>
      <c r="C100" s="14" t="s">
        <v>137</v>
      </c>
      <c r="D100" s="78" t="s">
        <v>63</v>
      </c>
      <c r="E100" s="14" t="s">
        <v>69</v>
      </c>
      <c r="F100" s="11" t="s">
        <v>183</v>
      </c>
      <c r="G100" s="14" t="s">
        <v>152</v>
      </c>
      <c r="H100" s="35">
        <f>Track_Tramping</f>
        <v>400</v>
      </c>
      <c r="I100" s="45">
        <v>2700</v>
      </c>
      <c r="J100" s="39">
        <f t="shared" si="0"/>
        <v>1080000</v>
      </c>
      <c r="K100" s="43">
        <f t="shared" si="1"/>
        <v>216000</v>
      </c>
      <c r="L100" s="43">
        <f t="shared" si="2"/>
        <v>194400</v>
      </c>
      <c r="M100" s="6">
        <f t="shared" si="9"/>
        <v>7.4999999999999997E-2</v>
      </c>
      <c r="N100" s="43">
        <f t="shared" si="11"/>
        <v>111780</v>
      </c>
      <c r="O100" s="5">
        <f t="shared" si="102"/>
        <v>0.06</v>
      </c>
      <c r="P100" s="5">
        <f t="shared" si="103"/>
        <v>0.02</v>
      </c>
      <c r="Q100" s="5">
        <f t="shared" si="103"/>
        <v>0.06</v>
      </c>
      <c r="R100" s="43">
        <f t="shared" si="136"/>
        <v>224305.2</v>
      </c>
      <c r="S100" s="43">
        <f t="shared" si="137"/>
        <v>365297.04000000004</v>
      </c>
      <c r="T100" s="43">
        <f t="shared" si="14"/>
        <v>2192000</v>
      </c>
      <c r="U100" s="7">
        <v>0</v>
      </c>
      <c r="V100" s="7">
        <f t="shared" si="138"/>
        <v>2022</v>
      </c>
      <c r="W100" s="7">
        <v>3</v>
      </c>
      <c r="X100" s="7">
        <f t="shared" si="139"/>
        <v>2025</v>
      </c>
      <c r="Y100" s="58" t="s">
        <v>112</v>
      </c>
      <c r="Z100" s="58"/>
      <c r="AA100" s="14"/>
      <c r="AB100" s="11" t="s">
        <v>176</v>
      </c>
    </row>
    <row r="101" spans="1:28" ht="45" x14ac:dyDescent="0.25">
      <c r="A101" s="14" t="s">
        <v>519</v>
      </c>
      <c r="B101" s="14" t="s">
        <v>47</v>
      </c>
      <c r="C101" s="14" t="s">
        <v>137</v>
      </c>
      <c r="D101" s="78" t="s">
        <v>63</v>
      </c>
      <c r="E101" s="14" t="s">
        <v>70</v>
      </c>
      <c r="F101" s="11" t="s">
        <v>183</v>
      </c>
      <c r="G101" s="14" t="s">
        <v>152</v>
      </c>
      <c r="H101" s="35">
        <f>Track_Tramping</f>
        <v>400</v>
      </c>
      <c r="I101" s="45">
        <v>12900</v>
      </c>
      <c r="J101" s="39">
        <f>$I101*$H101</f>
        <v>5160000</v>
      </c>
      <c r="K101" s="43">
        <f>$J101*K$1</f>
        <v>1032000</v>
      </c>
      <c r="L101" s="43">
        <f>SUM($J101:$K101)*L$1</f>
        <v>928800</v>
      </c>
      <c r="M101" s="6">
        <f>IF($B101="piopiotahi",0.1,IF($B101="Corridor",0.075,IF($B101="Te Anau",0.05,"")))</f>
        <v>7.4999999999999997E-2</v>
      </c>
      <c r="N101" s="43">
        <f>SUM($J101:$L101)*$M101</f>
        <v>534060</v>
      </c>
      <c r="O101" s="5">
        <f>O$1</f>
        <v>0.06</v>
      </c>
      <c r="P101" s="5">
        <f>P$1</f>
        <v>0.02</v>
      </c>
      <c r="Q101" s="5">
        <f>Q$1</f>
        <v>0.06</v>
      </c>
      <c r="R101" s="43">
        <f>SUM($O101:$Q101)*SUM($J101:$L101,N101)</f>
        <v>1071680.4000000001</v>
      </c>
      <c r="S101" s="43">
        <f>SUM(R101,$J101:$L101,$N101)*S$1</f>
        <v>1745308.08</v>
      </c>
      <c r="T101" s="43">
        <f>ROUNDUP(SUM($R101:$S101,$J101:$L101,$N101),-3)</f>
        <v>10472000</v>
      </c>
      <c r="U101" s="7">
        <v>1</v>
      </c>
      <c r="V101" s="7">
        <f>$V$1+U101</f>
        <v>2023</v>
      </c>
      <c r="W101" s="7">
        <v>4</v>
      </c>
      <c r="X101" s="7">
        <f>W101+V101</f>
        <v>2027</v>
      </c>
      <c r="Y101" s="58" t="s">
        <v>180</v>
      </c>
      <c r="Z101" s="58"/>
      <c r="AA101" s="14"/>
      <c r="AB101" s="11" t="s">
        <v>176</v>
      </c>
    </row>
    <row r="102" spans="1:28" ht="45" x14ac:dyDescent="0.25">
      <c r="A102" s="14" t="s">
        <v>520</v>
      </c>
      <c r="B102" s="14" t="s">
        <v>47</v>
      </c>
      <c r="C102" s="14" t="s">
        <v>137</v>
      </c>
      <c r="D102" s="78" t="s">
        <v>63</v>
      </c>
      <c r="E102" s="14" t="s">
        <v>68</v>
      </c>
      <c r="F102" s="11" t="s">
        <v>184</v>
      </c>
      <c r="G102" s="14" t="s">
        <v>152</v>
      </c>
      <c r="H102" s="35">
        <f>Track_Tramping/2</f>
        <v>200</v>
      </c>
      <c r="I102" s="45">
        <v>4500</v>
      </c>
      <c r="J102" s="39">
        <f t="shared" si="0"/>
        <v>900000</v>
      </c>
      <c r="K102" s="43">
        <f t="shared" si="1"/>
        <v>180000</v>
      </c>
      <c r="L102" s="43">
        <f t="shared" si="2"/>
        <v>162000</v>
      </c>
      <c r="M102" s="6">
        <f t="shared" si="9"/>
        <v>7.4999999999999997E-2</v>
      </c>
      <c r="N102" s="43">
        <f t="shared" si="11"/>
        <v>93150</v>
      </c>
      <c r="O102" s="5">
        <f t="shared" si="102"/>
        <v>0.06</v>
      </c>
      <c r="P102" s="5">
        <f t="shared" si="103"/>
        <v>0.02</v>
      </c>
      <c r="Q102" s="5">
        <f t="shared" si="103"/>
        <v>0.06</v>
      </c>
      <c r="R102" s="43">
        <f t="shared" ref="R102:R103" si="140">SUM($O102:$Q102)*SUM($J102:$L102,N102)</f>
        <v>186921.00000000003</v>
      </c>
      <c r="S102" s="43">
        <f t="shared" ref="S102:S103" si="141">SUM(R102,$J102:$L102,$N102)*S$1</f>
        <v>304414.2</v>
      </c>
      <c r="T102" s="43">
        <f t="shared" si="14"/>
        <v>1827000</v>
      </c>
      <c r="U102" s="7">
        <v>0</v>
      </c>
      <c r="V102" s="7">
        <f t="shared" ref="V102:V103" si="142">$V$1+U102</f>
        <v>2022</v>
      </c>
      <c r="W102" s="7">
        <v>3</v>
      </c>
      <c r="X102" s="7">
        <f t="shared" ref="X102:X103" si="143">W102+V102</f>
        <v>2025</v>
      </c>
      <c r="Y102" s="58" t="s">
        <v>112</v>
      </c>
      <c r="Z102" s="58"/>
      <c r="AA102" s="14"/>
      <c r="AB102" s="11" t="s">
        <v>176</v>
      </c>
    </row>
    <row r="103" spans="1:28" ht="45" x14ac:dyDescent="0.25">
      <c r="A103" s="14" t="s">
        <v>521</v>
      </c>
      <c r="B103" s="14" t="s">
        <v>47</v>
      </c>
      <c r="C103" s="14" t="s">
        <v>137</v>
      </c>
      <c r="D103" s="78" t="s">
        <v>63</v>
      </c>
      <c r="E103" s="14" t="s">
        <v>509</v>
      </c>
      <c r="F103" s="11" t="s">
        <v>183</v>
      </c>
      <c r="G103" s="14" t="s">
        <v>152</v>
      </c>
      <c r="H103" s="35">
        <f>Track_Tramping</f>
        <v>400</v>
      </c>
      <c r="I103" s="45">
        <v>7000</v>
      </c>
      <c r="J103" s="39">
        <f t="shared" si="0"/>
        <v>2800000</v>
      </c>
      <c r="K103" s="43">
        <f t="shared" si="1"/>
        <v>560000</v>
      </c>
      <c r="L103" s="43">
        <f t="shared" si="2"/>
        <v>504000</v>
      </c>
      <c r="M103" s="6">
        <f t="shared" si="9"/>
        <v>7.4999999999999997E-2</v>
      </c>
      <c r="N103" s="43">
        <f t="shared" si="11"/>
        <v>289800</v>
      </c>
      <c r="O103" s="5">
        <f t="shared" si="102"/>
        <v>0.06</v>
      </c>
      <c r="P103" s="5">
        <f t="shared" si="103"/>
        <v>0.02</v>
      </c>
      <c r="Q103" s="5">
        <f t="shared" si="103"/>
        <v>0.06</v>
      </c>
      <c r="R103" s="43">
        <f t="shared" si="140"/>
        <v>581532</v>
      </c>
      <c r="S103" s="43">
        <f t="shared" si="141"/>
        <v>947066.4</v>
      </c>
      <c r="T103" s="43">
        <f t="shared" si="14"/>
        <v>5683000</v>
      </c>
      <c r="U103" s="7">
        <v>0</v>
      </c>
      <c r="V103" s="7">
        <f t="shared" si="142"/>
        <v>2022</v>
      </c>
      <c r="W103" s="7">
        <v>3</v>
      </c>
      <c r="X103" s="7">
        <f t="shared" si="143"/>
        <v>2025</v>
      </c>
      <c r="Y103" s="58" t="s">
        <v>112</v>
      </c>
      <c r="Z103" s="58"/>
      <c r="AA103" s="14"/>
      <c r="AB103" s="11" t="s">
        <v>176</v>
      </c>
    </row>
    <row r="104" spans="1:28" x14ac:dyDescent="0.25">
      <c r="A104" s="83"/>
      <c r="B104" s="83"/>
      <c r="C104" s="83"/>
      <c r="D104" s="83"/>
      <c r="E104" s="83"/>
      <c r="F104" s="84"/>
      <c r="G104" s="83"/>
      <c r="H104" s="85"/>
      <c r="I104" s="86"/>
      <c r="J104" s="85"/>
      <c r="K104" s="87"/>
      <c r="L104" s="87"/>
      <c r="M104" s="88"/>
      <c r="N104" s="87"/>
      <c r="O104" s="88"/>
      <c r="P104" s="88"/>
      <c r="Q104" s="88"/>
      <c r="R104" s="87"/>
      <c r="S104" s="87"/>
      <c r="T104" s="87"/>
      <c r="U104" s="83"/>
      <c r="V104" s="83"/>
      <c r="W104" s="83"/>
      <c r="X104" s="83"/>
      <c r="Y104" s="89"/>
      <c r="Z104" s="89"/>
      <c r="AA104" s="83"/>
      <c r="AB104" s="83"/>
    </row>
    <row r="105" spans="1:28" ht="45" x14ac:dyDescent="0.25">
      <c r="A105" s="14" t="s">
        <v>530</v>
      </c>
      <c r="B105" s="14" t="s">
        <v>71</v>
      </c>
      <c r="C105" s="14" t="s">
        <v>108</v>
      </c>
      <c r="D105" s="78" t="s">
        <v>18</v>
      </c>
      <c r="E105" s="14" t="s">
        <v>74</v>
      </c>
      <c r="F105" s="11" t="s">
        <v>533</v>
      </c>
      <c r="G105" s="14" t="s">
        <v>339</v>
      </c>
      <c r="H105" s="35">
        <f>Bus_Shelter_Robust</f>
        <v>345000</v>
      </c>
      <c r="I105" s="45">
        <v>1</v>
      </c>
      <c r="J105" s="39">
        <f t="shared" si="0"/>
        <v>345000</v>
      </c>
      <c r="K105" s="43">
        <f t="shared" si="1"/>
        <v>69000</v>
      </c>
      <c r="L105" s="43">
        <f t="shared" si="2"/>
        <v>62100</v>
      </c>
      <c r="M105" s="6">
        <f t="shared" si="9"/>
        <v>0.05</v>
      </c>
      <c r="N105" s="43">
        <f t="shared" si="11"/>
        <v>23805</v>
      </c>
      <c r="O105" s="5">
        <f>O$1</f>
        <v>0.06</v>
      </c>
      <c r="P105" s="5">
        <f t="shared" si="103"/>
        <v>0.02</v>
      </c>
      <c r="Q105" s="5">
        <f t="shared" si="103"/>
        <v>0.06</v>
      </c>
      <c r="R105" s="43">
        <f t="shared" si="12"/>
        <v>69986.700000000012</v>
      </c>
      <c r="S105" s="43">
        <f t="shared" si="13"/>
        <v>113978.34</v>
      </c>
      <c r="T105" s="43">
        <f t="shared" si="14"/>
        <v>684000</v>
      </c>
      <c r="U105" s="7">
        <v>0</v>
      </c>
      <c r="V105" s="7">
        <f t="shared" ref="V105:V106" si="144">U105+$V$1</f>
        <v>2022</v>
      </c>
      <c r="W105" s="7">
        <v>3</v>
      </c>
      <c r="X105" s="7">
        <f t="shared" ref="X105:X106" si="145">W105+V105</f>
        <v>2025</v>
      </c>
      <c r="Y105" s="58" t="s">
        <v>112</v>
      </c>
      <c r="Z105" s="58"/>
      <c r="AA105" s="14"/>
      <c r="AB105" s="14"/>
    </row>
    <row r="106" spans="1:28" ht="45" x14ac:dyDescent="0.25">
      <c r="A106" s="14" t="s">
        <v>528</v>
      </c>
      <c r="B106" s="14" t="s">
        <v>71</v>
      </c>
      <c r="C106" s="14" t="s">
        <v>108</v>
      </c>
      <c r="D106" s="78" t="s">
        <v>18</v>
      </c>
      <c r="E106" s="14" t="s">
        <v>72</v>
      </c>
      <c r="F106" s="11" t="s">
        <v>534</v>
      </c>
      <c r="G106" s="14" t="s">
        <v>110</v>
      </c>
      <c r="H106" s="35">
        <f>Experience_Hub</f>
        <v>5000</v>
      </c>
      <c r="I106" s="45">
        <v>1000</v>
      </c>
      <c r="J106" s="39">
        <f t="shared" si="0"/>
        <v>5000000</v>
      </c>
      <c r="K106" s="43">
        <f t="shared" si="1"/>
        <v>1000000</v>
      </c>
      <c r="L106" s="43">
        <f t="shared" si="2"/>
        <v>900000</v>
      </c>
      <c r="M106" s="6">
        <f t="shared" ref="M106:M109" si="146">IF($B106="piopiotahi",0.1,IF($B106="Corridor",0.075,IF($B106="Te Anau",0.05,"")))</f>
        <v>0.05</v>
      </c>
      <c r="N106" s="43">
        <f t="shared" si="11"/>
        <v>345000</v>
      </c>
      <c r="O106" s="5">
        <v>0.1</v>
      </c>
      <c r="P106" s="5">
        <f t="shared" si="103"/>
        <v>0.02</v>
      </c>
      <c r="Q106" s="5">
        <f t="shared" si="103"/>
        <v>0.06</v>
      </c>
      <c r="R106" s="43">
        <f t="shared" si="12"/>
        <v>1304100</v>
      </c>
      <c r="S106" s="43">
        <f t="shared" si="13"/>
        <v>1709820</v>
      </c>
      <c r="T106" s="43">
        <f t="shared" si="14"/>
        <v>10259000</v>
      </c>
      <c r="U106" s="7">
        <v>0</v>
      </c>
      <c r="V106" s="7">
        <f t="shared" si="144"/>
        <v>2022</v>
      </c>
      <c r="W106" s="7">
        <v>3</v>
      </c>
      <c r="X106" s="7">
        <f t="shared" si="145"/>
        <v>2025</v>
      </c>
      <c r="Y106" s="58" t="s">
        <v>112</v>
      </c>
      <c r="Z106" s="58"/>
      <c r="AA106" s="14"/>
      <c r="AB106" s="14"/>
    </row>
    <row r="107" spans="1:28" ht="30" x14ac:dyDescent="0.25">
      <c r="A107" s="14" t="s">
        <v>529</v>
      </c>
      <c r="B107" s="14" t="s">
        <v>71</v>
      </c>
      <c r="C107" s="14" t="s">
        <v>108</v>
      </c>
      <c r="D107" s="78" t="s">
        <v>18</v>
      </c>
      <c r="E107" s="14" t="s">
        <v>190</v>
      </c>
      <c r="F107" s="11" t="s">
        <v>535</v>
      </c>
      <c r="G107" s="14" t="s">
        <v>110</v>
      </c>
      <c r="H107" s="79">
        <f>Premiere_Landscaping</f>
        <v>250</v>
      </c>
      <c r="I107" s="45">
        <v>10000</v>
      </c>
      <c r="J107" s="39">
        <f t="shared" si="0"/>
        <v>2500000</v>
      </c>
      <c r="K107" s="43">
        <f t="shared" si="1"/>
        <v>500000</v>
      </c>
      <c r="L107" s="43">
        <f t="shared" si="2"/>
        <v>450000</v>
      </c>
      <c r="M107" s="6">
        <f t="shared" si="146"/>
        <v>0.05</v>
      </c>
      <c r="N107" s="43">
        <f t="shared" si="11"/>
        <v>172500</v>
      </c>
      <c r="O107" s="5">
        <v>0.1</v>
      </c>
      <c r="P107" s="5">
        <f t="shared" si="103"/>
        <v>0.02</v>
      </c>
      <c r="Q107" s="5">
        <f t="shared" si="103"/>
        <v>0.06</v>
      </c>
      <c r="R107" s="43">
        <f t="shared" ref="R107" si="147">SUM($O107:$Q107)*SUM($J107:$L107,N107)</f>
        <v>652050</v>
      </c>
      <c r="S107" s="43">
        <f t="shared" ref="S107" si="148">SUM(R107,$J107:$L107,$N107)*S$1</f>
        <v>854910</v>
      </c>
      <c r="T107" s="43">
        <f t="shared" si="14"/>
        <v>5130000</v>
      </c>
      <c r="U107" s="7"/>
      <c r="V107" s="7"/>
      <c r="W107" s="7"/>
      <c r="X107" s="7"/>
      <c r="Y107" s="58"/>
      <c r="Z107" s="58"/>
      <c r="AA107" s="14"/>
      <c r="AB107" s="14"/>
    </row>
    <row r="108" spans="1:28" ht="45" x14ac:dyDescent="0.25">
      <c r="A108" s="14" t="s">
        <v>539</v>
      </c>
      <c r="B108" s="14" t="s">
        <v>71</v>
      </c>
      <c r="C108" s="14" t="s">
        <v>132</v>
      </c>
      <c r="D108" s="78" t="s">
        <v>18</v>
      </c>
      <c r="E108" s="14" t="s">
        <v>73</v>
      </c>
      <c r="F108" s="11" t="s">
        <v>531</v>
      </c>
      <c r="G108" s="14" t="s">
        <v>339</v>
      </c>
      <c r="H108" s="35">
        <f>CarParking_BySpace</f>
        <v>8320</v>
      </c>
      <c r="I108" s="45">
        <v>60</v>
      </c>
      <c r="J108" s="39">
        <f t="shared" si="0"/>
        <v>499200</v>
      </c>
      <c r="K108" s="43">
        <f t="shared" si="1"/>
        <v>99840</v>
      </c>
      <c r="L108" s="43">
        <f t="shared" si="2"/>
        <v>89856</v>
      </c>
      <c r="M108" s="6">
        <f t="shared" si="146"/>
        <v>0.05</v>
      </c>
      <c r="N108" s="43">
        <f t="shared" si="11"/>
        <v>34444.800000000003</v>
      </c>
      <c r="O108" s="5">
        <f t="shared" ref="O108:O128" si="149">O$1</f>
        <v>0.06</v>
      </c>
      <c r="P108" s="5">
        <f t="shared" si="103"/>
        <v>0.02</v>
      </c>
      <c r="Q108" s="5">
        <f t="shared" si="103"/>
        <v>0.06</v>
      </c>
      <c r="R108" s="43">
        <f t="shared" si="12"/>
        <v>101267.71200000001</v>
      </c>
      <c r="S108" s="43">
        <f t="shared" si="13"/>
        <v>164921.70240000004</v>
      </c>
      <c r="T108" s="43">
        <f t="shared" si="14"/>
        <v>990000</v>
      </c>
      <c r="U108" s="7">
        <v>0</v>
      </c>
      <c r="V108" s="7">
        <f t="shared" ref="V108" si="150">U108+$V$1</f>
        <v>2022</v>
      </c>
      <c r="W108" s="7">
        <v>3</v>
      </c>
      <c r="X108" s="7">
        <f t="shared" ref="X108" si="151">W108+V108</f>
        <v>2025</v>
      </c>
      <c r="Y108" s="58" t="s">
        <v>112</v>
      </c>
      <c r="Z108" s="58"/>
      <c r="AA108" s="14"/>
      <c r="AB108" s="14"/>
    </row>
    <row r="109" spans="1:28" ht="60" x14ac:dyDescent="0.25">
      <c r="A109" s="14" t="s">
        <v>540</v>
      </c>
      <c r="B109" s="14" t="s">
        <v>71</v>
      </c>
      <c r="C109" s="14" t="s">
        <v>132</v>
      </c>
      <c r="D109" s="78" t="s">
        <v>18</v>
      </c>
      <c r="E109" s="14" t="s">
        <v>75</v>
      </c>
      <c r="F109" s="11" t="s">
        <v>532</v>
      </c>
      <c r="G109" s="14" t="s">
        <v>152</v>
      </c>
      <c r="H109" s="35">
        <f>Carriageway</f>
        <v>1730</v>
      </c>
      <c r="I109" s="31">
        <v>1000</v>
      </c>
      <c r="J109" s="39">
        <f t="shared" si="0"/>
        <v>1730000</v>
      </c>
      <c r="K109" s="43">
        <f t="shared" si="1"/>
        <v>346000</v>
      </c>
      <c r="L109" s="43">
        <f t="shared" si="2"/>
        <v>311400</v>
      </c>
      <c r="M109" s="6">
        <f t="shared" si="146"/>
        <v>0.05</v>
      </c>
      <c r="N109" s="43">
        <f t="shared" si="11"/>
        <v>119370</v>
      </c>
      <c r="O109" s="5">
        <f t="shared" si="149"/>
        <v>0.06</v>
      </c>
      <c r="P109" s="5">
        <f t="shared" si="103"/>
        <v>0.02</v>
      </c>
      <c r="Q109" s="5">
        <f t="shared" si="103"/>
        <v>0.06</v>
      </c>
      <c r="R109" s="43">
        <f t="shared" ref="R109" si="152">SUM($O109:$Q109)*SUM($J109:$L109,N109)</f>
        <v>350947.80000000005</v>
      </c>
      <c r="S109" s="43">
        <f t="shared" ref="S109:S111" si="153">SUM(R109,$J109:$L109,$N109)*S$1</f>
        <v>571543.55999999994</v>
      </c>
      <c r="T109" s="43">
        <f t="shared" si="14"/>
        <v>3430000</v>
      </c>
      <c r="U109" s="7">
        <v>0</v>
      </c>
      <c r="V109" s="7">
        <f t="shared" ref="V109" si="154">U109+$V$1</f>
        <v>2022</v>
      </c>
      <c r="W109" s="7">
        <v>3</v>
      </c>
      <c r="X109" s="7">
        <f t="shared" ref="X109" si="155">W109+V109</f>
        <v>2025</v>
      </c>
      <c r="Y109" s="58" t="s">
        <v>112</v>
      </c>
      <c r="Z109" s="58"/>
      <c r="AA109" s="14"/>
      <c r="AB109" s="14"/>
    </row>
    <row r="110" spans="1:28" ht="30" x14ac:dyDescent="0.25">
      <c r="A110" s="14" t="s">
        <v>549</v>
      </c>
      <c r="B110" s="14" t="s">
        <v>71</v>
      </c>
      <c r="C110" s="14" t="s">
        <v>132</v>
      </c>
      <c r="D110" s="78" t="s">
        <v>79</v>
      </c>
      <c r="E110" s="14" t="s">
        <v>81</v>
      </c>
      <c r="F110" s="11" t="s">
        <v>536</v>
      </c>
      <c r="G110" s="14" t="s">
        <v>339</v>
      </c>
      <c r="H110" s="35"/>
      <c r="I110" s="45">
        <f>SUM(I111:I113)</f>
        <v>156</v>
      </c>
      <c r="J110" s="39"/>
      <c r="K110" s="48"/>
      <c r="L110" s="48"/>
      <c r="M110" s="6"/>
      <c r="N110" s="48"/>
      <c r="O110" s="49"/>
      <c r="P110" s="49"/>
      <c r="Q110" s="49"/>
      <c r="R110" s="43"/>
      <c r="S110" s="43"/>
      <c r="T110" s="43">
        <f>SUM(T111:T113)</f>
        <v>141804000</v>
      </c>
      <c r="U110" s="7"/>
      <c r="V110" s="7"/>
      <c r="W110" s="7"/>
      <c r="X110" s="7"/>
      <c r="Y110" s="58"/>
      <c r="Z110" s="58"/>
      <c r="AA110" s="14"/>
      <c r="AB110" s="14"/>
    </row>
    <row r="111" spans="1:28" ht="30" x14ac:dyDescent="0.25">
      <c r="A111" s="81"/>
      <c r="B111" s="81" t="s">
        <v>71</v>
      </c>
      <c r="C111" s="81" t="s">
        <v>132</v>
      </c>
      <c r="D111" s="81" t="s">
        <v>79</v>
      </c>
      <c r="E111" s="81" t="s">
        <v>191</v>
      </c>
      <c r="F111" s="82" t="s">
        <v>192</v>
      </c>
      <c r="G111" s="14" t="s">
        <v>339</v>
      </c>
      <c r="H111" s="35">
        <f>Transport_Buses</f>
        <v>750000</v>
      </c>
      <c r="I111" s="45">
        <f>156*0.5</f>
        <v>78</v>
      </c>
      <c r="J111" s="39">
        <f>$I111*$H111</f>
        <v>58500000</v>
      </c>
      <c r="K111" s="48">
        <v>0</v>
      </c>
      <c r="L111" s="48">
        <v>0</v>
      </c>
      <c r="M111" s="6">
        <v>0</v>
      </c>
      <c r="N111" s="48">
        <f>SUM($J111:$L111)*$M111</f>
        <v>0</v>
      </c>
      <c r="O111" s="49">
        <v>0</v>
      </c>
      <c r="P111" s="49">
        <v>0.01</v>
      </c>
      <c r="Q111" s="49">
        <v>0</v>
      </c>
      <c r="R111" s="43">
        <f>SUM($O111:$Q111)*SUM($J111:$L111,N111)</f>
        <v>585000</v>
      </c>
      <c r="S111" s="43">
        <f t="shared" si="153"/>
        <v>11817000</v>
      </c>
      <c r="T111" s="43">
        <f>ROUNDUP(SUM($R111:$S111,$J111:$L111,$N111),-3)</f>
        <v>70902000</v>
      </c>
      <c r="U111" s="7">
        <v>2</v>
      </c>
      <c r="V111" s="7">
        <f>U111+$V$1</f>
        <v>2024</v>
      </c>
      <c r="W111" s="7">
        <v>0</v>
      </c>
      <c r="X111" s="7">
        <f>W111+V111</f>
        <v>2024</v>
      </c>
      <c r="Y111" s="58"/>
      <c r="Z111" s="58"/>
      <c r="AA111" s="14"/>
      <c r="AB111" s="14"/>
    </row>
    <row r="112" spans="1:28" ht="30" x14ac:dyDescent="0.25">
      <c r="A112" s="81"/>
      <c r="B112" s="81" t="s">
        <v>71</v>
      </c>
      <c r="C112" s="81" t="s">
        <v>132</v>
      </c>
      <c r="D112" s="81" t="s">
        <v>79</v>
      </c>
      <c r="E112" s="81" t="s">
        <v>193</v>
      </c>
      <c r="F112" s="82" t="s">
        <v>194</v>
      </c>
      <c r="G112" s="14" t="s">
        <v>339</v>
      </c>
      <c r="H112" s="35">
        <f>Transport_Buses</f>
        <v>750000</v>
      </c>
      <c r="I112" s="45">
        <f>156*0.25</f>
        <v>39</v>
      </c>
      <c r="J112" s="39">
        <f t="shared" si="0"/>
        <v>29250000</v>
      </c>
      <c r="K112" s="48">
        <v>0</v>
      </c>
      <c r="L112" s="48">
        <v>0</v>
      </c>
      <c r="M112" s="6">
        <v>0</v>
      </c>
      <c r="N112" s="48">
        <f>SUM($J112:$L112)*$M112</f>
        <v>0</v>
      </c>
      <c r="O112" s="49">
        <v>0</v>
      </c>
      <c r="P112" s="49">
        <v>0.01</v>
      </c>
      <c r="Q112" s="49">
        <v>0</v>
      </c>
      <c r="R112" s="43">
        <f t="shared" ref="R112:R113" si="156">SUM($O112:$Q112)*SUM($J112:$L112,N112)</f>
        <v>292500</v>
      </c>
      <c r="S112" s="43">
        <f t="shared" ref="S112:S113" si="157">SUM(R112,$J112:$L112,$N112)*S$1</f>
        <v>5908500</v>
      </c>
      <c r="T112" s="43">
        <f t="shared" si="14"/>
        <v>35451000</v>
      </c>
      <c r="U112" s="7">
        <v>12</v>
      </c>
      <c r="V112" s="7">
        <f>U112+$V$1</f>
        <v>2034</v>
      </c>
      <c r="W112" s="7">
        <v>0</v>
      </c>
      <c r="X112" s="7">
        <f>W112+V112</f>
        <v>2034</v>
      </c>
      <c r="Y112" s="58"/>
      <c r="Z112" s="58"/>
      <c r="AA112" s="14"/>
      <c r="AB112" s="14"/>
    </row>
    <row r="113" spans="1:28" ht="30" x14ac:dyDescent="0.25">
      <c r="A113" s="81"/>
      <c r="B113" s="81" t="s">
        <v>71</v>
      </c>
      <c r="C113" s="81" t="s">
        <v>132</v>
      </c>
      <c r="D113" s="81" t="s">
        <v>79</v>
      </c>
      <c r="E113" s="81" t="s">
        <v>195</v>
      </c>
      <c r="F113" s="82" t="s">
        <v>196</v>
      </c>
      <c r="G113" s="14" t="s">
        <v>339</v>
      </c>
      <c r="H113" s="35">
        <f>Transport_Buses</f>
        <v>750000</v>
      </c>
      <c r="I113" s="45">
        <f>156*0.25</f>
        <v>39</v>
      </c>
      <c r="J113" s="39">
        <f t="shared" si="0"/>
        <v>29250000</v>
      </c>
      <c r="K113" s="48">
        <v>0</v>
      </c>
      <c r="L113" s="48">
        <v>0</v>
      </c>
      <c r="M113" s="6">
        <v>0</v>
      </c>
      <c r="N113" s="48">
        <f>SUM($J113:$L113)*$M113</f>
        <v>0</v>
      </c>
      <c r="O113" s="49">
        <v>0</v>
      </c>
      <c r="P113" s="49">
        <v>0.01</v>
      </c>
      <c r="Q113" s="49">
        <v>0</v>
      </c>
      <c r="R113" s="43">
        <f t="shared" si="156"/>
        <v>292500</v>
      </c>
      <c r="S113" s="43">
        <f t="shared" si="157"/>
        <v>5908500</v>
      </c>
      <c r="T113" s="43">
        <f t="shared" si="14"/>
        <v>35451000</v>
      </c>
      <c r="U113" s="7">
        <v>22</v>
      </c>
      <c r="V113" s="7">
        <f>U113+$V$1</f>
        <v>2044</v>
      </c>
      <c r="W113" s="7">
        <v>0</v>
      </c>
      <c r="X113" s="7">
        <f>W113+V113</f>
        <v>2044</v>
      </c>
      <c r="Y113" s="58"/>
      <c r="Z113" s="58"/>
      <c r="AA113" s="14"/>
      <c r="AB113" s="14"/>
    </row>
    <row r="114" spans="1:28" ht="64.5" customHeight="1" x14ac:dyDescent="0.25">
      <c r="A114" s="14" t="s">
        <v>547</v>
      </c>
      <c r="B114" s="14" t="s">
        <v>71</v>
      </c>
      <c r="C114" s="14" t="s">
        <v>132</v>
      </c>
      <c r="D114" s="78" t="s">
        <v>39</v>
      </c>
      <c r="E114" s="14" t="s">
        <v>523</v>
      </c>
      <c r="F114" s="11" t="s">
        <v>537</v>
      </c>
      <c r="G114" s="14"/>
      <c r="H114" s="35"/>
      <c r="I114" s="45"/>
      <c r="J114" s="39"/>
      <c r="K114" s="43"/>
      <c r="L114" s="43"/>
      <c r="M114" s="6"/>
      <c r="N114" s="43"/>
      <c r="O114" s="5"/>
      <c r="P114" s="5"/>
      <c r="Q114" s="5"/>
      <c r="R114" s="43"/>
      <c r="S114" s="43"/>
      <c r="T114" s="43">
        <f>SUM(T115:T118)</f>
        <v>16804000</v>
      </c>
      <c r="U114" s="7"/>
      <c r="V114" s="7"/>
      <c r="W114" s="7"/>
      <c r="X114" s="7"/>
      <c r="Y114" s="58"/>
      <c r="Z114" s="58"/>
      <c r="AA114" s="14"/>
      <c r="AB114" s="14"/>
    </row>
    <row r="115" spans="1:28" ht="30" x14ac:dyDescent="0.25">
      <c r="A115" s="81"/>
      <c r="B115" s="81" t="s">
        <v>71</v>
      </c>
      <c r="C115" s="81" t="s">
        <v>132</v>
      </c>
      <c r="D115" s="81" t="s">
        <v>39</v>
      </c>
      <c r="E115" s="81" t="s">
        <v>77</v>
      </c>
      <c r="F115" s="82" t="s">
        <v>143</v>
      </c>
      <c r="G115" s="14" t="s">
        <v>110</v>
      </c>
      <c r="H115" s="35">
        <f>Pavement_Developed+Land_Purchase</f>
        <v>259</v>
      </c>
      <c r="I115" s="45">
        <f>2500+80*I110</f>
        <v>14980</v>
      </c>
      <c r="J115" s="39">
        <f t="shared" si="0"/>
        <v>3879820</v>
      </c>
      <c r="K115" s="43">
        <f t="shared" si="1"/>
        <v>775964</v>
      </c>
      <c r="L115" s="43">
        <f t="shared" si="2"/>
        <v>698367.6</v>
      </c>
      <c r="M115" s="6">
        <f t="shared" ref="M115:M128" si="158">IF($B115="piopiotahi",0.1,IF($B115="Corridor",0.075,IF($B115="Te Anau",0.05,"")))</f>
        <v>0.05</v>
      </c>
      <c r="N115" s="43">
        <f t="shared" si="11"/>
        <v>267707.58</v>
      </c>
      <c r="O115" s="5">
        <f t="shared" si="149"/>
        <v>0.06</v>
      </c>
      <c r="P115" s="5">
        <f t="shared" si="103"/>
        <v>0.02</v>
      </c>
      <c r="Q115" s="5">
        <f t="shared" si="103"/>
        <v>0.06</v>
      </c>
      <c r="R115" s="43">
        <f t="shared" ref="R115:R118" si="159">SUM($O115:$Q115)*SUM($J115:$L115,N115)</f>
        <v>787060.28520000004</v>
      </c>
      <c r="S115" s="43">
        <f t="shared" ref="S115:S119" si="160">SUM(R115,$J115:$L115,$N115)*S$1</f>
        <v>1281783.89304</v>
      </c>
      <c r="T115" s="43">
        <f t="shared" si="14"/>
        <v>7691000</v>
      </c>
      <c r="U115" s="7">
        <v>0</v>
      </c>
      <c r="V115" s="7">
        <f t="shared" ref="V115:V119" si="161">U115+$V$1</f>
        <v>2022</v>
      </c>
      <c r="W115" s="7">
        <v>3</v>
      </c>
      <c r="X115" s="7">
        <f t="shared" ref="X115:X119" si="162">W115+V115</f>
        <v>2025</v>
      </c>
      <c r="Y115" s="58" t="s">
        <v>112</v>
      </c>
      <c r="Z115" s="58"/>
      <c r="AA115" s="14"/>
      <c r="AB115" s="14"/>
    </row>
    <row r="116" spans="1:28" x14ac:dyDescent="0.25">
      <c r="A116" s="81"/>
      <c r="B116" s="81" t="s">
        <v>71</v>
      </c>
      <c r="C116" s="81" t="s">
        <v>132</v>
      </c>
      <c r="D116" s="81" t="s">
        <v>39</v>
      </c>
      <c r="E116" s="81" t="s">
        <v>197</v>
      </c>
      <c r="F116" s="82" t="s">
        <v>146</v>
      </c>
      <c r="G116" s="14" t="s">
        <v>339</v>
      </c>
      <c r="H116" s="35">
        <f>Generator</f>
        <v>116840</v>
      </c>
      <c r="I116" s="31">
        <v>0</v>
      </c>
      <c r="J116" s="39">
        <f t="shared" si="0"/>
        <v>0</v>
      </c>
      <c r="K116" s="43">
        <f t="shared" si="1"/>
        <v>0</v>
      </c>
      <c r="L116" s="43">
        <f t="shared" si="2"/>
        <v>0</v>
      </c>
      <c r="M116" s="6">
        <f t="shared" si="158"/>
        <v>0.05</v>
      </c>
      <c r="N116" s="43">
        <f t="shared" si="11"/>
        <v>0</v>
      </c>
      <c r="O116" s="5">
        <f t="shared" si="149"/>
        <v>0.06</v>
      </c>
      <c r="P116" s="5">
        <f t="shared" si="103"/>
        <v>0.02</v>
      </c>
      <c r="Q116" s="5">
        <f t="shared" si="103"/>
        <v>0.06</v>
      </c>
      <c r="R116" s="43">
        <f t="shared" ref="R116" si="163">SUM($O116:$Q116)*SUM($J116:$L116,N116)</f>
        <v>0</v>
      </c>
      <c r="S116" s="43">
        <f t="shared" ref="S116" si="164">SUM(R116,$J116:$L116,$N116)*S$1</f>
        <v>0</v>
      </c>
      <c r="T116" s="43">
        <f t="shared" si="14"/>
        <v>0</v>
      </c>
      <c r="U116" s="7">
        <v>0</v>
      </c>
      <c r="V116" s="7">
        <f t="shared" si="161"/>
        <v>2022</v>
      </c>
      <c r="W116" s="7">
        <v>3</v>
      </c>
      <c r="X116" s="7">
        <f t="shared" si="162"/>
        <v>2025</v>
      </c>
      <c r="Y116" s="58" t="s">
        <v>112</v>
      </c>
      <c r="Z116" s="58"/>
      <c r="AA116" s="14"/>
      <c r="AB116" s="14"/>
    </row>
    <row r="117" spans="1:28" x14ac:dyDescent="0.25">
      <c r="A117" s="81"/>
      <c r="B117" s="81" t="s">
        <v>71</v>
      </c>
      <c r="C117" s="81" t="s">
        <v>132</v>
      </c>
      <c r="D117" s="81" t="s">
        <v>39</v>
      </c>
      <c r="E117" s="81" t="s">
        <v>198</v>
      </c>
      <c r="F117" s="82" t="s">
        <v>148</v>
      </c>
      <c r="G117" s="14" t="s">
        <v>339</v>
      </c>
      <c r="H117" s="35">
        <f>Transformer</f>
        <v>125250</v>
      </c>
      <c r="I117" s="45">
        <v>1</v>
      </c>
      <c r="J117" s="39">
        <f t="shared" si="0"/>
        <v>125250</v>
      </c>
      <c r="K117" s="43">
        <f t="shared" si="1"/>
        <v>25050</v>
      </c>
      <c r="L117" s="43">
        <f t="shared" si="2"/>
        <v>22545</v>
      </c>
      <c r="M117" s="6">
        <f t="shared" si="158"/>
        <v>0.05</v>
      </c>
      <c r="N117" s="43">
        <f t="shared" si="11"/>
        <v>8642.25</v>
      </c>
      <c r="O117" s="5">
        <f t="shared" si="149"/>
        <v>0.06</v>
      </c>
      <c r="P117" s="5">
        <f t="shared" si="103"/>
        <v>0.02</v>
      </c>
      <c r="Q117" s="5">
        <f t="shared" si="103"/>
        <v>0.06</v>
      </c>
      <c r="R117" s="43">
        <f t="shared" ref="R117" si="165">SUM($O117:$Q117)*SUM($J117:$L117,N117)</f>
        <v>25408.215000000004</v>
      </c>
      <c r="S117" s="43">
        <f t="shared" ref="S117" si="166">SUM(R117,$J117:$L117,$N117)*S$1</f>
        <v>41379.093000000001</v>
      </c>
      <c r="T117" s="43">
        <f t="shared" si="14"/>
        <v>249000</v>
      </c>
      <c r="U117" s="7">
        <v>0</v>
      </c>
      <c r="V117" s="7">
        <f t="shared" si="161"/>
        <v>2022</v>
      </c>
      <c r="W117" s="7">
        <v>3</v>
      </c>
      <c r="X117" s="7">
        <f t="shared" si="162"/>
        <v>2025</v>
      </c>
      <c r="Y117" s="58" t="s">
        <v>112</v>
      </c>
      <c r="Z117" s="58"/>
      <c r="AA117" s="14"/>
      <c r="AB117" s="14"/>
    </row>
    <row r="118" spans="1:28" ht="17.25" x14ac:dyDescent="0.25">
      <c r="A118" s="81"/>
      <c r="B118" s="81" t="s">
        <v>71</v>
      </c>
      <c r="C118" s="81" t="s">
        <v>132</v>
      </c>
      <c r="D118" s="81" t="s">
        <v>39</v>
      </c>
      <c r="E118" s="81" t="s">
        <v>76</v>
      </c>
      <c r="F118" s="82" t="s">
        <v>144</v>
      </c>
      <c r="G118" s="14" t="s">
        <v>110</v>
      </c>
      <c r="H118" s="35">
        <f>Motel_2star</f>
        <v>3600</v>
      </c>
      <c r="I118" s="45">
        <v>1200</v>
      </c>
      <c r="J118" s="39">
        <f t="shared" si="0"/>
        <v>4320000</v>
      </c>
      <c r="K118" s="43">
        <f t="shared" si="1"/>
        <v>864000</v>
      </c>
      <c r="L118" s="43">
        <f t="shared" si="2"/>
        <v>777600</v>
      </c>
      <c r="M118" s="6">
        <f t="shared" si="158"/>
        <v>0.05</v>
      </c>
      <c r="N118" s="43">
        <f t="shared" si="11"/>
        <v>298080</v>
      </c>
      <c r="O118" s="5">
        <v>0.1</v>
      </c>
      <c r="P118" s="5">
        <f t="shared" si="103"/>
        <v>0.02</v>
      </c>
      <c r="Q118" s="5">
        <f t="shared" si="103"/>
        <v>0.06</v>
      </c>
      <c r="R118" s="43">
        <f t="shared" si="159"/>
        <v>1126742.3999999999</v>
      </c>
      <c r="S118" s="43">
        <f t="shared" si="160"/>
        <v>1477284.4800000002</v>
      </c>
      <c r="T118" s="43">
        <f t="shared" si="14"/>
        <v>8864000</v>
      </c>
      <c r="U118" s="7">
        <v>0</v>
      </c>
      <c r="V118" s="7">
        <f t="shared" si="161"/>
        <v>2022</v>
      </c>
      <c r="W118" s="7">
        <v>3</v>
      </c>
      <c r="X118" s="7">
        <f t="shared" si="162"/>
        <v>2025</v>
      </c>
      <c r="Y118" s="58" t="s">
        <v>112</v>
      </c>
      <c r="Z118" s="58"/>
      <c r="AA118" s="14"/>
      <c r="AB118" s="14"/>
    </row>
    <row r="119" spans="1:28" ht="75" x14ac:dyDescent="0.25">
      <c r="A119" s="14" t="s">
        <v>548</v>
      </c>
      <c r="B119" s="14" t="s">
        <v>71</v>
      </c>
      <c r="C119" s="14" t="s">
        <v>132</v>
      </c>
      <c r="D119" s="78" t="s">
        <v>39</v>
      </c>
      <c r="E119" s="14" t="s">
        <v>78</v>
      </c>
      <c r="F119" s="11" t="s">
        <v>538</v>
      </c>
      <c r="G119" s="14" t="s">
        <v>339</v>
      </c>
      <c r="H119" s="35">
        <f>CarParking_BySpace+Land_Purchase*20</f>
        <v>8500</v>
      </c>
      <c r="I119" s="45">
        <v>1000</v>
      </c>
      <c r="J119" s="39">
        <f t="shared" si="0"/>
        <v>8500000</v>
      </c>
      <c r="K119" s="43">
        <f t="shared" si="1"/>
        <v>1700000</v>
      </c>
      <c r="L119" s="43">
        <f t="shared" si="2"/>
        <v>1530000</v>
      </c>
      <c r="M119" s="6">
        <f t="shared" si="158"/>
        <v>0.05</v>
      </c>
      <c r="N119" s="43">
        <f t="shared" si="11"/>
        <v>586500</v>
      </c>
      <c r="O119" s="5">
        <f t="shared" si="149"/>
        <v>0.06</v>
      </c>
      <c r="P119" s="5">
        <f t="shared" si="103"/>
        <v>0.02</v>
      </c>
      <c r="Q119" s="5">
        <f t="shared" si="103"/>
        <v>0.06</v>
      </c>
      <c r="R119" s="43">
        <f t="shared" ref="R119" si="167">SUM($O119:$Q119)*SUM($J119:$L119,N119)</f>
        <v>1724310.0000000002</v>
      </c>
      <c r="S119" s="43">
        <f t="shared" si="160"/>
        <v>2808162</v>
      </c>
      <c r="T119" s="43">
        <f t="shared" si="14"/>
        <v>16849000</v>
      </c>
      <c r="U119" s="7">
        <v>0</v>
      </c>
      <c r="V119" s="7">
        <f t="shared" si="161"/>
        <v>2022</v>
      </c>
      <c r="W119" s="7">
        <v>3</v>
      </c>
      <c r="X119" s="7">
        <f t="shared" si="162"/>
        <v>2025</v>
      </c>
      <c r="Y119" s="58" t="s">
        <v>112</v>
      </c>
      <c r="Z119" s="58"/>
      <c r="AA119" s="14"/>
      <c r="AB119" s="14"/>
    </row>
    <row r="120" spans="1:28" ht="45" x14ac:dyDescent="0.25">
      <c r="A120" s="14" t="s">
        <v>541</v>
      </c>
      <c r="B120" s="14" t="s">
        <v>71</v>
      </c>
      <c r="C120" s="14" t="s">
        <v>149</v>
      </c>
      <c r="D120" s="78" t="s">
        <v>18</v>
      </c>
      <c r="E120" s="14" t="s">
        <v>420</v>
      </c>
      <c r="F120" s="11" t="s">
        <v>546</v>
      </c>
      <c r="G120" s="14"/>
      <c r="H120" s="35"/>
      <c r="I120" s="45"/>
      <c r="J120" s="39"/>
      <c r="K120" s="43"/>
      <c r="L120" s="43"/>
      <c r="M120" s="6"/>
      <c r="N120" s="43"/>
      <c r="O120" s="5"/>
      <c r="P120" s="5"/>
      <c r="Q120" s="5"/>
      <c r="R120" s="43"/>
      <c r="S120" s="43"/>
      <c r="T120" s="43">
        <f>SUM(T121:T123)</f>
        <v>152000</v>
      </c>
      <c r="U120" s="7"/>
      <c r="V120" s="7"/>
      <c r="W120" s="7"/>
      <c r="X120" s="7"/>
      <c r="Y120" s="58"/>
      <c r="Z120" s="58"/>
      <c r="AA120" s="14"/>
      <c r="AB120" s="14"/>
    </row>
    <row r="121" spans="1:28" ht="30" x14ac:dyDescent="0.25">
      <c r="A121" s="81"/>
      <c r="B121" s="81" t="s">
        <v>71</v>
      </c>
      <c r="C121" s="81" t="s">
        <v>149</v>
      </c>
      <c r="D121" s="81" t="s">
        <v>18</v>
      </c>
      <c r="E121" s="81" t="s">
        <v>199</v>
      </c>
      <c r="F121" s="82" t="s">
        <v>200</v>
      </c>
      <c r="G121" s="14" t="s">
        <v>152</v>
      </c>
      <c r="H121" s="35">
        <f>Gravity_150mm</f>
        <v>185</v>
      </c>
      <c r="I121" s="45">
        <v>200</v>
      </c>
      <c r="J121" s="39">
        <f t="shared" si="0"/>
        <v>37000</v>
      </c>
      <c r="K121" s="43">
        <f t="shared" si="1"/>
        <v>7400</v>
      </c>
      <c r="L121" s="43">
        <f t="shared" si="2"/>
        <v>6660</v>
      </c>
      <c r="M121" s="6">
        <f t="shared" si="158"/>
        <v>0.05</v>
      </c>
      <c r="N121" s="43">
        <f t="shared" si="11"/>
        <v>2553</v>
      </c>
      <c r="O121" s="5">
        <f t="shared" si="149"/>
        <v>0.06</v>
      </c>
      <c r="P121" s="5">
        <f t="shared" si="103"/>
        <v>0.02</v>
      </c>
      <c r="Q121" s="5">
        <f t="shared" si="103"/>
        <v>0.06</v>
      </c>
      <c r="R121" s="43">
        <f t="shared" si="12"/>
        <v>7505.8200000000006</v>
      </c>
      <c r="S121" s="43">
        <f t="shared" si="13"/>
        <v>12223.764000000001</v>
      </c>
      <c r="T121" s="43">
        <f t="shared" si="14"/>
        <v>74000</v>
      </c>
      <c r="U121" s="7">
        <v>0</v>
      </c>
      <c r="V121" s="7">
        <f t="shared" ref="V121:V123" si="168">U121+$V$1</f>
        <v>2022</v>
      </c>
      <c r="W121" s="7">
        <v>3</v>
      </c>
      <c r="X121" s="7">
        <f t="shared" ref="X121:X123" si="169">W121+V121</f>
        <v>2025</v>
      </c>
      <c r="Y121" s="58" t="s">
        <v>112</v>
      </c>
      <c r="Z121" s="58"/>
      <c r="AA121" s="14"/>
      <c r="AB121" s="14"/>
    </row>
    <row r="122" spans="1:28" ht="30" x14ac:dyDescent="0.25">
      <c r="A122" s="81"/>
      <c r="B122" s="81" t="s">
        <v>71</v>
      </c>
      <c r="C122" s="81" t="s">
        <v>149</v>
      </c>
      <c r="D122" s="81" t="s">
        <v>18</v>
      </c>
      <c r="E122" s="81" t="s">
        <v>201</v>
      </c>
      <c r="F122" s="82" t="s">
        <v>200</v>
      </c>
      <c r="G122" s="14" t="s">
        <v>339</v>
      </c>
      <c r="H122" s="35">
        <f>Manhole_1050mm</f>
        <v>4700</v>
      </c>
      <c r="I122" s="36">
        <f>ROUNDUP(I121/80,0)</f>
        <v>3</v>
      </c>
      <c r="J122" s="39">
        <f t="shared" si="0"/>
        <v>14100</v>
      </c>
      <c r="K122" s="43">
        <f t="shared" si="1"/>
        <v>2820</v>
      </c>
      <c r="L122" s="43">
        <f t="shared" si="2"/>
        <v>2538</v>
      </c>
      <c r="M122" s="6">
        <f t="shared" si="158"/>
        <v>0.05</v>
      </c>
      <c r="N122" s="43">
        <f t="shared" si="11"/>
        <v>972.90000000000009</v>
      </c>
      <c r="O122" s="5">
        <f t="shared" si="149"/>
        <v>0.06</v>
      </c>
      <c r="P122" s="5">
        <f t="shared" si="103"/>
        <v>0.02</v>
      </c>
      <c r="Q122" s="5">
        <f t="shared" si="103"/>
        <v>0.06</v>
      </c>
      <c r="R122" s="43">
        <f t="shared" ref="R122" si="170">SUM($O122:$Q122)*SUM($J122:$L122,N122)</f>
        <v>2860.3260000000005</v>
      </c>
      <c r="S122" s="43">
        <f t="shared" ref="S122" si="171">SUM(R122,$J122:$L122,$N122)*S$1</f>
        <v>4658.2452000000003</v>
      </c>
      <c r="T122" s="43">
        <f t="shared" si="14"/>
        <v>28000</v>
      </c>
      <c r="U122" s="7">
        <v>0</v>
      </c>
      <c r="V122" s="7">
        <f t="shared" ref="V122" si="172">U122+$V$1</f>
        <v>2022</v>
      </c>
      <c r="W122" s="7">
        <v>3</v>
      </c>
      <c r="X122" s="7">
        <f t="shared" ref="X122" si="173">W122+V122</f>
        <v>2025</v>
      </c>
      <c r="Y122" s="58" t="s">
        <v>112</v>
      </c>
      <c r="Z122" s="58"/>
      <c r="AA122" s="14"/>
      <c r="AB122" s="14"/>
    </row>
    <row r="123" spans="1:28" ht="30" x14ac:dyDescent="0.25">
      <c r="A123" s="81"/>
      <c r="B123" s="81" t="s">
        <v>71</v>
      </c>
      <c r="C123" s="81" t="s">
        <v>149</v>
      </c>
      <c r="D123" s="81" t="s">
        <v>18</v>
      </c>
      <c r="E123" s="81" t="s">
        <v>525</v>
      </c>
      <c r="F123" s="82" t="s">
        <v>524</v>
      </c>
      <c r="G123" s="14" t="s">
        <v>339</v>
      </c>
      <c r="H123" s="35"/>
      <c r="I123" s="45">
        <v>1</v>
      </c>
      <c r="J123" s="39"/>
      <c r="K123" s="43"/>
      <c r="L123" s="43"/>
      <c r="M123" s="6"/>
      <c r="N123" s="43"/>
      <c r="O123" s="5"/>
      <c r="P123" s="5"/>
      <c r="Q123" s="5"/>
      <c r="R123" s="43"/>
      <c r="S123" s="43"/>
      <c r="T123" s="43">
        <v>50000</v>
      </c>
      <c r="U123" s="7">
        <v>0</v>
      </c>
      <c r="V123" s="7">
        <f t="shared" si="168"/>
        <v>2022</v>
      </c>
      <c r="W123" s="7">
        <v>3</v>
      </c>
      <c r="X123" s="7">
        <f t="shared" si="169"/>
        <v>2025</v>
      </c>
      <c r="Y123" s="58" t="s">
        <v>112</v>
      </c>
      <c r="Z123" s="58"/>
      <c r="AA123" s="14"/>
      <c r="AB123" s="14"/>
    </row>
    <row r="124" spans="1:28" ht="45" x14ac:dyDescent="0.25">
      <c r="A124" s="14" t="s">
        <v>543</v>
      </c>
      <c r="B124" s="14" t="s">
        <v>71</v>
      </c>
      <c r="C124" s="14" t="s">
        <v>149</v>
      </c>
      <c r="D124" s="78" t="s">
        <v>18</v>
      </c>
      <c r="E124" s="14" t="s">
        <v>421</v>
      </c>
      <c r="F124" s="11" t="s">
        <v>545</v>
      </c>
      <c r="G124" s="14"/>
      <c r="H124" s="35"/>
      <c r="I124" s="36"/>
      <c r="J124" s="39"/>
      <c r="K124" s="43"/>
      <c r="L124" s="43"/>
      <c r="M124" s="6"/>
      <c r="N124" s="43"/>
      <c r="O124" s="5"/>
      <c r="P124" s="5"/>
      <c r="Q124" s="5"/>
      <c r="R124" s="43"/>
      <c r="S124" s="43"/>
      <c r="T124" s="43">
        <f>SUM(T125:T127)</f>
        <v>123000</v>
      </c>
      <c r="U124" s="7"/>
      <c r="V124" s="7"/>
      <c r="W124" s="7"/>
      <c r="X124" s="7"/>
      <c r="Y124" s="58"/>
      <c r="Z124" s="58"/>
      <c r="AA124" s="14"/>
      <c r="AB124" s="14"/>
    </row>
    <row r="125" spans="1:28" ht="30" x14ac:dyDescent="0.25">
      <c r="A125" s="81"/>
      <c r="B125" s="81" t="s">
        <v>71</v>
      </c>
      <c r="C125" s="81" t="s">
        <v>149</v>
      </c>
      <c r="D125" s="81" t="s">
        <v>18</v>
      </c>
      <c r="E125" s="81" t="s">
        <v>202</v>
      </c>
      <c r="F125" s="82" t="s">
        <v>200</v>
      </c>
      <c r="G125" s="14" t="s">
        <v>152</v>
      </c>
      <c r="H125" s="35">
        <f>Pressure_100mm</f>
        <v>165</v>
      </c>
      <c r="I125" s="45">
        <v>200</v>
      </c>
      <c r="J125" s="39">
        <f t="shared" si="0"/>
        <v>33000</v>
      </c>
      <c r="K125" s="43">
        <f t="shared" si="1"/>
        <v>6600</v>
      </c>
      <c r="L125" s="43">
        <f t="shared" si="2"/>
        <v>5940</v>
      </c>
      <c r="M125" s="6">
        <f t="shared" si="158"/>
        <v>0.05</v>
      </c>
      <c r="N125" s="43">
        <f t="shared" si="11"/>
        <v>2277</v>
      </c>
      <c r="O125" s="5">
        <f t="shared" si="149"/>
        <v>0.06</v>
      </c>
      <c r="P125" s="5">
        <f t="shared" si="103"/>
        <v>0.02</v>
      </c>
      <c r="Q125" s="5">
        <f t="shared" si="103"/>
        <v>0.06</v>
      </c>
      <c r="R125" s="43">
        <f t="shared" si="12"/>
        <v>6694.380000000001</v>
      </c>
      <c r="S125" s="43">
        <f t="shared" si="13"/>
        <v>10902.276000000002</v>
      </c>
      <c r="T125" s="43">
        <f t="shared" si="14"/>
        <v>66000</v>
      </c>
      <c r="U125" s="7">
        <v>0</v>
      </c>
      <c r="V125" s="7">
        <f t="shared" ref="V125:V127" si="174">U125+$V$1</f>
        <v>2022</v>
      </c>
      <c r="W125" s="7">
        <v>3</v>
      </c>
      <c r="X125" s="7">
        <f t="shared" ref="X125:X127" si="175">W125+V125</f>
        <v>2025</v>
      </c>
      <c r="Y125" s="58" t="s">
        <v>112</v>
      </c>
      <c r="Z125" s="58"/>
      <c r="AA125" s="14"/>
      <c r="AB125" s="14"/>
    </row>
    <row r="126" spans="1:28" ht="30" x14ac:dyDescent="0.25">
      <c r="A126" s="81"/>
      <c r="B126" s="81" t="s">
        <v>71</v>
      </c>
      <c r="C126" s="81" t="s">
        <v>149</v>
      </c>
      <c r="D126" s="81" t="s">
        <v>18</v>
      </c>
      <c r="E126" s="81" t="s">
        <v>526</v>
      </c>
      <c r="F126" s="82" t="s">
        <v>524</v>
      </c>
      <c r="G126" s="14" t="s">
        <v>339</v>
      </c>
      <c r="H126" s="35"/>
      <c r="I126" s="45">
        <v>1</v>
      </c>
      <c r="J126" s="39"/>
      <c r="K126" s="43"/>
      <c r="L126" s="43"/>
      <c r="M126" s="6"/>
      <c r="N126" s="43"/>
      <c r="O126" s="5"/>
      <c r="P126" s="5"/>
      <c r="Q126" s="5"/>
      <c r="R126" s="43"/>
      <c r="S126" s="43"/>
      <c r="T126" s="43">
        <v>50000</v>
      </c>
      <c r="U126" s="7">
        <v>0</v>
      </c>
      <c r="V126" s="7">
        <f t="shared" si="174"/>
        <v>2022</v>
      </c>
      <c r="W126" s="7">
        <v>3</v>
      </c>
      <c r="X126" s="7">
        <f t="shared" si="175"/>
        <v>2025</v>
      </c>
      <c r="Y126" s="58" t="s">
        <v>112</v>
      </c>
      <c r="Z126" s="58"/>
      <c r="AA126" s="14"/>
      <c r="AB126" s="14"/>
    </row>
    <row r="127" spans="1:28" ht="30" x14ac:dyDescent="0.25">
      <c r="A127" s="81"/>
      <c r="B127" s="81" t="s">
        <v>71</v>
      </c>
      <c r="C127" s="81" t="s">
        <v>149</v>
      </c>
      <c r="D127" s="81" t="s">
        <v>18</v>
      </c>
      <c r="E127" s="81" t="s">
        <v>203</v>
      </c>
      <c r="F127" s="82" t="s">
        <v>200</v>
      </c>
      <c r="G127" s="14" t="s">
        <v>339</v>
      </c>
      <c r="H127" s="35">
        <f>GateValve</f>
        <v>1750</v>
      </c>
      <c r="I127" s="36">
        <f>ROUNDUP(I125/135,0)</f>
        <v>2</v>
      </c>
      <c r="J127" s="39">
        <f t="shared" si="0"/>
        <v>3500</v>
      </c>
      <c r="K127" s="43">
        <f t="shared" si="1"/>
        <v>700</v>
      </c>
      <c r="L127" s="43">
        <f t="shared" si="2"/>
        <v>630</v>
      </c>
      <c r="M127" s="6">
        <f t="shared" si="158"/>
        <v>0.05</v>
      </c>
      <c r="N127" s="43">
        <f t="shared" si="11"/>
        <v>241.5</v>
      </c>
      <c r="O127" s="5">
        <f t="shared" si="149"/>
        <v>0.06</v>
      </c>
      <c r="P127" s="5">
        <f t="shared" si="103"/>
        <v>0.02</v>
      </c>
      <c r="Q127" s="5">
        <f t="shared" si="103"/>
        <v>0.06</v>
      </c>
      <c r="R127" s="43">
        <f t="shared" si="12"/>
        <v>710.0100000000001</v>
      </c>
      <c r="S127" s="43">
        <f t="shared" si="13"/>
        <v>1156.3020000000001</v>
      </c>
      <c r="T127" s="43">
        <f t="shared" si="14"/>
        <v>7000</v>
      </c>
      <c r="U127" s="7">
        <v>0</v>
      </c>
      <c r="V127" s="7">
        <f t="shared" si="174"/>
        <v>2022</v>
      </c>
      <c r="W127" s="7">
        <v>3</v>
      </c>
      <c r="X127" s="7">
        <f t="shared" si="175"/>
        <v>2025</v>
      </c>
      <c r="Y127" s="58" t="s">
        <v>112</v>
      </c>
      <c r="Z127" s="58"/>
      <c r="AA127" s="14"/>
      <c r="AB127" s="14"/>
    </row>
    <row r="128" spans="1:28" ht="30" x14ac:dyDescent="0.25">
      <c r="A128" s="14" t="s">
        <v>542</v>
      </c>
      <c r="B128" s="14" t="s">
        <v>71</v>
      </c>
      <c r="C128" s="14" t="s">
        <v>137</v>
      </c>
      <c r="D128" s="78" t="s">
        <v>18</v>
      </c>
      <c r="E128" s="14" t="s">
        <v>204</v>
      </c>
      <c r="F128" s="11" t="s">
        <v>527</v>
      </c>
      <c r="G128" s="14" t="s">
        <v>152</v>
      </c>
      <c r="H128" s="79">
        <f>Wharf</f>
        <v>10000</v>
      </c>
      <c r="I128" s="45">
        <v>50</v>
      </c>
      <c r="J128" s="39">
        <f t="shared" si="0"/>
        <v>500000</v>
      </c>
      <c r="K128" s="43">
        <f t="shared" si="1"/>
        <v>100000</v>
      </c>
      <c r="L128" s="43">
        <f t="shared" si="2"/>
        <v>90000</v>
      </c>
      <c r="M128" s="6">
        <f t="shared" si="158"/>
        <v>0.05</v>
      </c>
      <c r="N128" s="43">
        <f t="shared" si="11"/>
        <v>34500</v>
      </c>
      <c r="O128" s="5">
        <f t="shared" si="149"/>
        <v>0.06</v>
      </c>
      <c r="P128" s="5">
        <f t="shared" si="103"/>
        <v>0.02</v>
      </c>
      <c r="Q128" s="5">
        <f t="shared" si="103"/>
        <v>0.06</v>
      </c>
      <c r="R128" s="43">
        <f t="shared" ref="R128" si="176">SUM($O128:$Q128)*SUM($J128:$L128,N128)</f>
        <v>101430.00000000001</v>
      </c>
      <c r="S128" s="43">
        <f t="shared" ref="S128" si="177">SUM(R128,$J128:$L128,$N128)*S$1</f>
        <v>165186</v>
      </c>
      <c r="T128" s="43">
        <f t="shared" si="14"/>
        <v>992000</v>
      </c>
      <c r="U128" s="7"/>
      <c r="V128" s="7"/>
      <c r="W128" s="7"/>
      <c r="X128" s="7"/>
      <c r="Y128" s="58"/>
      <c r="Z128" s="58"/>
      <c r="AA128" s="14"/>
      <c r="AB128" s="14"/>
    </row>
    <row r="129" spans="1:28" ht="45" x14ac:dyDescent="0.25">
      <c r="A129" s="14" t="s">
        <v>544</v>
      </c>
      <c r="B129" s="14" t="s">
        <v>71</v>
      </c>
      <c r="C129" s="14" t="s">
        <v>137</v>
      </c>
      <c r="D129" s="78" t="s">
        <v>18</v>
      </c>
      <c r="E129" s="14" t="s">
        <v>458</v>
      </c>
      <c r="F129" s="11" t="s">
        <v>460</v>
      </c>
      <c r="G129" s="14" t="s">
        <v>339</v>
      </c>
      <c r="H129" s="35"/>
      <c r="I129" s="45">
        <v>1</v>
      </c>
      <c r="J129" s="39"/>
      <c r="K129" s="43"/>
      <c r="L129" s="43"/>
      <c r="M129" s="6"/>
      <c r="N129" s="43"/>
      <c r="O129" s="5"/>
      <c r="P129" s="5"/>
      <c r="Q129" s="5"/>
      <c r="R129" s="43"/>
      <c r="S129" s="43"/>
      <c r="T129" s="43">
        <v>1000000</v>
      </c>
      <c r="U129" s="7"/>
      <c r="V129" s="7"/>
      <c r="W129" s="7"/>
      <c r="X129" s="7"/>
      <c r="Y129" s="58"/>
      <c r="Z129" s="58"/>
      <c r="AA129" s="14"/>
      <c r="AB129" s="14"/>
    </row>
  </sheetData>
  <sheetProtection algorithmName="SHA-512" hashValue="TpyTpJcyfkdR8EnTnkE+a3lFg+/1JAG6TTLtF0vfjDcHPgS7S4hlLXB3lha0qQ+uZFcMR0lopQJMleEqv3+4+Q==" saltValue="XFi03rMGh84Vgdjm/qcTOQ==" spinCount="100000" sheet="1" objects="1" scenarios="1"/>
  <autoFilter ref="A2:AB161" xr:uid="{82746D4A-5CE2-473A-A85F-12C2A90355D7}"/>
  <phoneticPr fontId="4" type="noConversion"/>
  <pageMargins left="0.23622047244094491" right="0.23622047244094491" top="0.74803149606299213" bottom="0.74803149606299213" header="0.31496062992125984" footer="0.31496062992125984"/>
  <pageSetup paperSize="8" scale="3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CA06-3B9E-42CB-B57C-2EA527D2E9B2}">
  <sheetPr>
    <tabColor theme="9" tint="0.79998168889431442"/>
  </sheetPr>
  <dimension ref="A1:H84"/>
  <sheetViews>
    <sheetView zoomScale="70" zoomScaleNormal="70" workbookViewId="0">
      <selection activeCell="H8" sqref="H8"/>
    </sheetView>
  </sheetViews>
  <sheetFormatPr defaultRowHeight="15" x14ac:dyDescent="0.25"/>
  <cols>
    <col min="1" max="1" width="22.42578125" style="29" customWidth="1"/>
    <col min="2" max="2" width="54" style="9" customWidth="1"/>
    <col min="3" max="3" width="13.42578125" style="9" customWidth="1"/>
    <col min="4" max="4" width="8.42578125" style="1" customWidth="1"/>
    <col min="5" max="5" width="15.42578125" customWidth="1"/>
    <col min="6" max="6" width="17.42578125" customWidth="1"/>
    <col min="7" max="7" width="90.5703125" customWidth="1"/>
    <col min="8" max="8" width="33.42578125" customWidth="1"/>
  </cols>
  <sheetData>
    <row r="1" spans="1:7" s="22" customFormat="1" x14ac:dyDescent="0.25">
      <c r="A1" s="28"/>
      <c r="B1" s="25"/>
      <c r="C1" s="25"/>
      <c r="D1" s="24"/>
      <c r="E1"/>
      <c r="F1" s="23"/>
      <c r="G1" s="23"/>
    </row>
    <row r="2" spans="1:7" s="22" customFormat="1" x14ac:dyDescent="0.25">
      <c r="A2" s="28"/>
      <c r="B2" s="25"/>
      <c r="C2" s="25"/>
      <c r="D2" s="24"/>
      <c r="E2"/>
      <c r="F2" s="23"/>
      <c r="G2" s="23"/>
    </row>
    <row r="3" spans="1:7" ht="15.75" thickBot="1" x14ac:dyDescent="0.3">
      <c r="A3" s="21" t="s">
        <v>205</v>
      </c>
      <c r="B3" s="21" t="s">
        <v>17</v>
      </c>
      <c r="C3" s="20" t="s">
        <v>206</v>
      </c>
      <c r="D3" s="18" t="s">
        <v>86</v>
      </c>
      <c r="E3" s="32" t="s">
        <v>207</v>
      </c>
      <c r="F3" s="19" t="s">
        <v>208</v>
      </c>
      <c r="G3" s="18" t="s">
        <v>209</v>
      </c>
    </row>
    <row r="4" spans="1:7" ht="105" x14ac:dyDescent="0.25">
      <c r="A4" s="73" t="s">
        <v>132</v>
      </c>
      <c r="B4" s="30" t="s">
        <v>210</v>
      </c>
      <c r="C4" s="12">
        <v>100</v>
      </c>
      <c r="D4" s="7" t="s">
        <v>152</v>
      </c>
      <c r="E4" s="27">
        <f>ROUNDUP(172198,-2)</f>
        <v>172200</v>
      </c>
      <c r="F4" s="46">
        <f>ROUNDUP(E4/C4,-1)</f>
        <v>1730</v>
      </c>
      <c r="G4" s="11" t="s">
        <v>211</v>
      </c>
    </row>
    <row r="5" spans="1:7" ht="105" x14ac:dyDescent="0.25">
      <c r="A5" s="73" t="s">
        <v>132</v>
      </c>
      <c r="B5" s="34" t="s">
        <v>212</v>
      </c>
      <c r="C5" s="12">
        <v>100</v>
      </c>
      <c r="D5" s="7" t="s">
        <v>152</v>
      </c>
      <c r="E5" s="27">
        <f>ROUNDUP(92043,-2)</f>
        <v>92100</v>
      </c>
      <c r="F5" s="46">
        <f t="shared" ref="F5:F30" si="0">ROUNDUP(E5/C5,-1)</f>
        <v>930</v>
      </c>
      <c r="G5" s="11" t="s">
        <v>213</v>
      </c>
    </row>
    <row r="6" spans="1:7" ht="29.1" customHeight="1" x14ac:dyDescent="0.25">
      <c r="A6" s="73" t="s">
        <v>132</v>
      </c>
      <c r="B6" s="34" t="s">
        <v>138</v>
      </c>
      <c r="C6" s="12"/>
      <c r="D6" s="7" t="s">
        <v>118</v>
      </c>
      <c r="E6" s="27"/>
      <c r="F6" s="46">
        <v>750000</v>
      </c>
      <c r="G6" s="10" t="s">
        <v>214</v>
      </c>
    </row>
    <row r="7" spans="1:7" ht="29.1" customHeight="1" x14ac:dyDescent="0.25">
      <c r="A7" s="73" t="s">
        <v>132</v>
      </c>
      <c r="B7" s="34" t="s">
        <v>215</v>
      </c>
      <c r="C7" s="12"/>
      <c r="D7" s="7" t="s">
        <v>118</v>
      </c>
      <c r="E7" s="27"/>
      <c r="F7" s="46">
        <v>750000</v>
      </c>
      <c r="G7" s="10" t="s">
        <v>214</v>
      </c>
    </row>
    <row r="8" spans="1:7" ht="105" x14ac:dyDescent="0.25">
      <c r="A8" s="73" t="s">
        <v>132</v>
      </c>
      <c r="B8" s="34" t="s">
        <v>216</v>
      </c>
      <c r="C8" s="12">
        <v>20</v>
      </c>
      <c r="D8" s="7" t="s">
        <v>217</v>
      </c>
      <c r="E8" s="27">
        <f>ROUNDUP(166216,-2)</f>
        <v>166300</v>
      </c>
      <c r="F8" s="46">
        <f t="shared" si="0"/>
        <v>8320</v>
      </c>
      <c r="G8" s="11" t="s">
        <v>218</v>
      </c>
    </row>
    <row r="9" spans="1:7" ht="105" x14ac:dyDescent="0.25">
      <c r="A9" s="73" t="s">
        <v>132</v>
      </c>
      <c r="B9" s="34" t="s">
        <v>219</v>
      </c>
      <c r="C9" s="12">
        <v>1</v>
      </c>
      <c r="D9" s="7" t="s">
        <v>110</v>
      </c>
      <c r="E9" s="27">
        <f>ROUNDUP(250,-1)</f>
        <v>250</v>
      </c>
      <c r="F9" s="46">
        <f t="shared" si="0"/>
        <v>250</v>
      </c>
      <c r="G9" s="11" t="s">
        <v>220</v>
      </c>
    </row>
    <row r="10" spans="1:7" ht="29.1" customHeight="1" x14ac:dyDescent="0.25">
      <c r="A10" s="73" t="s">
        <v>132</v>
      </c>
      <c r="B10" s="30" t="s">
        <v>221</v>
      </c>
      <c r="C10" s="12"/>
      <c r="D10" s="7" t="s">
        <v>152</v>
      </c>
      <c r="E10" s="27"/>
      <c r="F10" s="13"/>
      <c r="G10" s="11"/>
    </row>
    <row r="11" spans="1:7" ht="29.1" customHeight="1" x14ac:dyDescent="0.25">
      <c r="A11" s="73" t="s">
        <v>132</v>
      </c>
      <c r="B11" s="30" t="s">
        <v>222</v>
      </c>
      <c r="C11" s="12"/>
      <c r="D11" s="7" t="s">
        <v>118</v>
      </c>
      <c r="E11" s="27"/>
      <c r="F11" s="13">
        <f>Bus_Shelter_Robust</f>
        <v>345000</v>
      </c>
      <c r="G11" s="11" t="s">
        <v>466</v>
      </c>
    </row>
    <row r="12" spans="1:7" ht="48.6" customHeight="1" x14ac:dyDescent="0.25">
      <c r="A12" s="73" t="s">
        <v>132</v>
      </c>
      <c r="B12" s="34" t="s">
        <v>223</v>
      </c>
      <c r="C12" s="12">
        <v>1</v>
      </c>
      <c r="D12" s="7" t="s">
        <v>118</v>
      </c>
      <c r="E12" s="27">
        <v>116830.88</v>
      </c>
      <c r="F12" s="46">
        <f t="shared" ref="F12:F14" si="1">ROUNDUP(E12/C12,-1)</f>
        <v>116840</v>
      </c>
      <c r="G12" s="11" t="s">
        <v>224</v>
      </c>
    </row>
    <row r="13" spans="1:7" ht="48.6" customHeight="1" x14ac:dyDescent="0.25">
      <c r="A13" s="73" t="s">
        <v>132</v>
      </c>
      <c r="B13" s="34" t="s">
        <v>331</v>
      </c>
      <c r="C13" s="12">
        <v>1</v>
      </c>
      <c r="D13" s="7" t="s">
        <v>110</v>
      </c>
      <c r="E13" s="27">
        <f>135.59/2</f>
        <v>67.795000000000002</v>
      </c>
      <c r="F13" s="46">
        <v>70</v>
      </c>
      <c r="G13" s="11" t="s">
        <v>332</v>
      </c>
    </row>
    <row r="14" spans="1:7" ht="47.85" customHeight="1" x14ac:dyDescent="0.25">
      <c r="A14" s="73" t="s">
        <v>137</v>
      </c>
      <c r="B14" s="34" t="s">
        <v>225</v>
      </c>
      <c r="C14" s="12">
        <v>1</v>
      </c>
      <c r="D14" s="7" t="s">
        <v>118</v>
      </c>
      <c r="E14" s="27">
        <f>86729.35+38520.11</f>
        <v>125249.46</v>
      </c>
      <c r="F14" s="46">
        <f t="shared" si="1"/>
        <v>125250</v>
      </c>
      <c r="G14" s="11" t="s">
        <v>226</v>
      </c>
    </row>
    <row r="15" spans="1:7" ht="99" customHeight="1" x14ac:dyDescent="0.25">
      <c r="A15" s="73" t="s">
        <v>137</v>
      </c>
      <c r="B15" s="34" t="s">
        <v>227</v>
      </c>
      <c r="C15" s="12"/>
      <c r="D15" s="7" t="s">
        <v>110</v>
      </c>
      <c r="E15" s="27"/>
      <c r="F15" s="46">
        <f>1+18+100</f>
        <v>119</v>
      </c>
      <c r="G15" s="10" t="s">
        <v>368</v>
      </c>
    </row>
    <row r="16" spans="1:7" ht="105" x14ac:dyDescent="0.25">
      <c r="A16" s="73" t="s">
        <v>137</v>
      </c>
      <c r="B16" s="34" t="s">
        <v>228</v>
      </c>
      <c r="C16" s="12"/>
      <c r="D16" s="7" t="s">
        <v>110</v>
      </c>
      <c r="E16" s="27"/>
      <c r="F16" s="46">
        <f>13+18+100</f>
        <v>131</v>
      </c>
      <c r="G16" s="10" t="s">
        <v>367</v>
      </c>
    </row>
    <row r="17" spans="1:8" ht="30" x14ac:dyDescent="0.25">
      <c r="A17" s="73" t="s">
        <v>550</v>
      </c>
      <c r="B17" s="34" t="s">
        <v>551</v>
      </c>
      <c r="C17" s="12"/>
      <c r="D17" s="7" t="s">
        <v>110</v>
      </c>
      <c r="E17" s="27"/>
      <c r="F17" s="90">
        <f>Pavement_Developed</f>
        <v>250</v>
      </c>
      <c r="G17" s="10" t="s">
        <v>552</v>
      </c>
    </row>
    <row r="18" spans="1:8" ht="40.5" customHeight="1" x14ac:dyDescent="0.25">
      <c r="A18" s="73" t="s">
        <v>137</v>
      </c>
      <c r="B18" s="34" t="s">
        <v>229</v>
      </c>
      <c r="C18" s="12"/>
      <c r="D18" s="7" t="s">
        <v>110</v>
      </c>
      <c r="E18" s="27"/>
      <c r="F18" s="46">
        <f>ROUND(Track_Wheelchair/1.5,-1)</f>
        <v>190</v>
      </c>
      <c r="G18" s="10" t="s">
        <v>230</v>
      </c>
    </row>
    <row r="19" spans="1:8" ht="40.5" customHeight="1" x14ac:dyDescent="0.25">
      <c r="A19" s="73" t="s">
        <v>137</v>
      </c>
      <c r="B19" s="34" t="s">
        <v>325</v>
      </c>
      <c r="C19" s="12"/>
      <c r="D19" s="7" t="s">
        <v>110</v>
      </c>
      <c r="E19" s="27"/>
      <c r="F19" s="46">
        <v>200</v>
      </c>
      <c r="G19" s="34" t="s">
        <v>326</v>
      </c>
    </row>
    <row r="20" spans="1:8" ht="63" customHeight="1" x14ac:dyDescent="0.25">
      <c r="A20" s="73" t="s">
        <v>137</v>
      </c>
      <c r="B20" s="34" t="s">
        <v>231</v>
      </c>
      <c r="C20" s="12">
        <f>72.468*10000</f>
        <v>724680</v>
      </c>
      <c r="D20" s="7" t="s">
        <v>110</v>
      </c>
      <c r="E20" s="27">
        <v>3100000</v>
      </c>
      <c r="F20" s="46">
        <f>ROUNDUP(2*E20/C20,0)</f>
        <v>9</v>
      </c>
      <c r="G20" s="11" t="s">
        <v>337</v>
      </c>
    </row>
    <row r="21" spans="1:8" ht="90" x14ac:dyDescent="0.25">
      <c r="A21" s="73" t="s">
        <v>137</v>
      </c>
      <c r="B21" s="34" t="s">
        <v>232</v>
      </c>
      <c r="C21" s="12">
        <v>100</v>
      </c>
      <c r="D21" s="7" t="s">
        <v>152</v>
      </c>
      <c r="E21" s="27">
        <f>ROUNDUP(27608,-2)</f>
        <v>27700</v>
      </c>
      <c r="F21" s="46">
        <f>ROUNDUP(E21/C21,-1)</f>
        <v>280</v>
      </c>
      <c r="G21" s="10" t="s">
        <v>233</v>
      </c>
      <c r="H21" t="s">
        <v>234</v>
      </c>
    </row>
    <row r="22" spans="1:8" ht="41.45" customHeight="1" x14ac:dyDescent="0.25">
      <c r="A22" s="73" t="s">
        <v>137</v>
      </c>
      <c r="B22" s="34" t="s">
        <v>235</v>
      </c>
      <c r="C22" s="12"/>
      <c r="D22" s="7"/>
      <c r="E22" s="27"/>
      <c r="F22" s="46">
        <f>ROUNDUP(Track_Wheelchair*2.5/1.5,-1)</f>
        <v>470</v>
      </c>
      <c r="G22" s="10" t="s">
        <v>236</v>
      </c>
    </row>
    <row r="23" spans="1:8" ht="83.25" customHeight="1" x14ac:dyDescent="0.25">
      <c r="A23" s="73" t="s">
        <v>137</v>
      </c>
      <c r="B23" s="34" t="s">
        <v>237</v>
      </c>
      <c r="C23" s="12"/>
      <c r="D23" s="7" t="s">
        <v>152</v>
      </c>
      <c r="E23" s="27"/>
      <c r="F23" s="46">
        <v>400</v>
      </c>
      <c r="G23" s="10" t="s">
        <v>238</v>
      </c>
    </row>
    <row r="24" spans="1:8" ht="41.45" customHeight="1" x14ac:dyDescent="0.25">
      <c r="A24" s="73" t="s">
        <v>137</v>
      </c>
      <c r="B24" s="34" t="s">
        <v>327</v>
      </c>
      <c r="C24" s="12">
        <v>2400</v>
      </c>
      <c r="D24" s="7" t="s">
        <v>152</v>
      </c>
      <c r="E24" s="27">
        <v>1500000</v>
      </c>
      <c r="F24" s="46">
        <f>E24/C24</f>
        <v>625</v>
      </c>
      <c r="G24" s="34" t="s">
        <v>326</v>
      </c>
    </row>
    <row r="25" spans="1:8" ht="83.25" customHeight="1" x14ac:dyDescent="0.25">
      <c r="A25" s="73" t="s">
        <v>137</v>
      </c>
      <c r="B25" s="34" t="s">
        <v>239</v>
      </c>
      <c r="C25" s="12"/>
      <c r="D25" s="7" t="s">
        <v>118</v>
      </c>
      <c r="E25" s="27"/>
      <c r="F25" s="90">
        <v>25000000</v>
      </c>
      <c r="G25" s="10" t="s">
        <v>240</v>
      </c>
    </row>
    <row r="26" spans="1:8" ht="83.25" customHeight="1" x14ac:dyDescent="0.25">
      <c r="A26" s="73" t="s">
        <v>137</v>
      </c>
      <c r="B26" s="34" t="s">
        <v>333</v>
      </c>
      <c r="C26" s="12">
        <v>1</v>
      </c>
      <c r="D26" s="7" t="s">
        <v>152</v>
      </c>
      <c r="E26" s="27">
        <f>22.77+14.91+126.5+3678/800</f>
        <v>168.7775</v>
      </c>
      <c r="F26" s="46">
        <v>170</v>
      </c>
      <c r="G26" s="34" t="s">
        <v>334</v>
      </c>
    </row>
    <row r="27" spans="1:8" ht="107.25" x14ac:dyDescent="0.25">
      <c r="A27" s="73" t="s">
        <v>108</v>
      </c>
      <c r="B27" s="34" t="s">
        <v>241</v>
      </c>
      <c r="C27" s="12">
        <v>1</v>
      </c>
      <c r="D27" s="7" t="s">
        <v>110</v>
      </c>
      <c r="E27" s="27">
        <f>ROUNDUP(3450*4/3, -2)</f>
        <v>4600</v>
      </c>
      <c r="F27" s="46">
        <f t="shared" si="0"/>
        <v>4600</v>
      </c>
      <c r="G27" s="11" t="s">
        <v>322</v>
      </c>
    </row>
    <row r="28" spans="1:8" ht="107.25" x14ac:dyDescent="0.25">
      <c r="A28" s="73" t="s">
        <v>108</v>
      </c>
      <c r="B28" s="34" t="s">
        <v>242</v>
      </c>
      <c r="C28" s="12">
        <v>1</v>
      </c>
      <c r="D28" s="7" t="s">
        <v>110</v>
      </c>
      <c r="E28" s="27">
        <f>ROUNDUP(4340*4/3, -2)</f>
        <v>5800</v>
      </c>
      <c r="F28" s="46">
        <f t="shared" si="0"/>
        <v>5800</v>
      </c>
      <c r="G28" s="34" t="s">
        <v>321</v>
      </c>
    </row>
    <row r="29" spans="1:8" ht="105" x14ac:dyDescent="0.25">
      <c r="A29" s="73" t="s">
        <v>108</v>
      </c>
      <c r="B29" s="34" t="s">
        <v>243</v>
      </c>
      <c r="C29" s="12">
        <v>1</v>
      </c>
      <c r="D29" s="7" t="s">
        <v>110</v>
      </c>
      <c r="E29" s="27">
        <f>ROUNDUP(2110*5/3, -2)</f>
        <v>3600</v>
      </c>
      <c r="F29" s="46">
        <f t="shared" si="0"/>
        <v>3600</v>
      </c>
      <c r="G29" s="11" t="s">
        <v>320</v>
      </c>
    </row>
    <row r="30" spans="1:8" ht="75" x14ac:dyDescent="0.25">
      <c r="A30" s="73" t="s">
        <v>108</v>
      </c>
      <c r="B30" s="34" t="s">
        <v>244</v>
      </c>
      <c r="C30" s="12">
        <v>1</v>
      </c>
      <c r="D30" s="7" t="s">
        <v>110</v>
      </c>
      <c r="E30" s="27">
        <f>ROUNDUP(3000*5/3, -2)</f>
        <v>5000</v>
      </c>
      <c r="F30" s="46">
        <f t="shared" si="0"/>
        <v>5000</v>
      </c>
      <c r="G30" s="11" t="s">
        <v>319</v>
      </c>
      <c r="H30" t="s">
        <v>245</v>
      </c>
    </row>
    <row r="31" spans="1:8" ht="105" x14ac:dyDescent="0.25">
      <c r="A31" s="73" t="s">
        <v>108</v>
      </c>
      <c r="B31" s="34" t="s">
        <v>340</v>
      </c>
      <c r="C31" s="12">
        <v>1</v>
      </c>
      <c r="D31" s="7" t="s">
        <v>118</v>
      </c>
      <c r="E31" s="27">
        <f>ROUNDUP(24818+(280*30), -3)</f>
        <v>34000</v>
      </c>
      <c r="F31" s="46">
        <f>ROUNDUP((E31/C31),-1)</f>
        <v>34000</v>
      </c>
      <c r="G31" s="10" t="s">
        <v>246</v>
      </c>
      <c r="H31" s="75" t="s">
        <v>341</v>
      </c>
    </row>
    <row r="32" spans="1:8" ht="120" x14ac:dyDescent="0.25">
      <c r="A32" s="73" t="s">
        <v>108</v>
      </c>
      <c r="B32" s="34" t="s">
        <v>348</v>
      </c>
      <c r="C32" s="12">
        <v>1</v>
      </c>
      <c r="D32" s="7" t="s">
        <v>118</v>
      </c>
      <c r="E32" s="27">
        <f>ROUNDUP(33.75*F27+(280*30), -3)</f>
        <v>164000</v>
      </c>
      <c r="F32" s="46">
        <f>ROUNDUP(E32/C32,-1)</f>
        <v>164000</v>
      </c>
      <c r="G32" s="11" t="s">
        <v>344</v>
      </c>
      <c r="H32" s="75" t="s">
        <v>342</v>
      </c>
    </row>
    <row r="33" spans="1:8" ht="120" x14ac:dyDescent="0.25">
      <c r="A33" s="73" t="s">
        <v>108</v>
      </c>
      <c r="B33" s="34" t="s">
        <v>247</v>
      </c>
      <c r="C33" s="12">
        <v>1</v>
      </c>
      <c r="D33" s="7" t="s">
        <v>118</v>
      </c>
      <c r="E33" s="27">
        <f>ROUNDUP(75*F27, -3)</f>
        <v>345000</v>
      </c>
      <c r="F33" s="46">
        <f>ROUNDUP(E33/C33,-1)</f>
        <v>345000</v>
      </c>
      <c r="G33" s="10" t="s">
        <v>345</v>
      </c>
      <c r="H33" s="75" t="s">
        <v>343</v>
      </c>
    </row>
    <row r="34" spans="1:8" ht="90.6" customHeight="1" x14ac:dyDescent="0.25">
      <c r="A34" s="73" t="s">
        <v>108</v>
      </c>
      <c r="B34" s="34" t="s">
        <v>248</v>
      </c>
      <c r="C34" s="12">
        <v>1</v>
      </c>
      <c r="D34" s="7" t="s">
        <v>110</v>
      </c>
      <c r="E34" s="27"/>
      <c r="F34" s="46">
        <v>140</v>
      </c>
      <c r="G34" s="51" t="s">
        <v>249</v>
      </c>
    </row>
    <row r="35" spans="1:8" ht="90.6" customHeight="1" x14ac:dyDescent="0.25">
      <c r="A35" s="73" t="s">
        <v>108</v>
      </c>
      <c r="B35" s="34" t="s">
        <v>323</v>
      </c>
      <c r="C35" s="12">
        <v>161</v>
      </c>
      <c r="D35" s="7" t="s">
        <v>110</v>
      </c>
      <c r="E35" s="27">
        <v>201250</v>
      </c>
      <c r="F35" s="46">
        <f>E35/C35</f>
        <v>1250</v>
      </c>
      <c r="G35" s="34" t="s">
        <v>324</v>
      </c>
    </row>
    <row r="36" spans="1:8" ht="90.6" customHeight="1" x14ac:dyDescent="0.25">
      <c r="A36" s="73" t="s">
        <v>108</v>
      </c>
      <c r="B36" s="34" t="s">
        <v>336</v>
      </c>
      <c r="C36" s="12">
        <v>13.5</v>
      </c>
      <c r="D36" s="7" t="s">
        <v>152</v>
      </c>
      <c r="E36" s="27">
        <v>24818</v>
      </c>
      <c r="F36" s="46">
        <f>ROUNDUP(E36/C36,-1)</f>
        <v>1840</v>
      </c>
      <c r="G36" s="34" t="s">
        <v>448</v>
      </c>
    </row>
    <row r="37" spans="1:8" ht="90.6" customHeight="1" x14ac:dyDescent="0.25">
      <c r="A37" s="73" t="s">
        <v>108</v>
      </c>
      <c r="B37" s="34" t="s">
        <v>335</v>
      </c>
      <c r="C37" s="12"/>
      <c r="D37" s="7" t="s">
        <v>152</v>
      </c>
      <c r="E37" s="27"/>
      <c r="F37" s="90">
        <v>3000</v>
      </c>
      <c r="G37" s="51" t="s">
        <v>251</v>
      </c>
    </row>
    <row r="38" spans="1:8" ht="90.6" customHeight="1" x14ac:dyDescent="0.25">
      <c r="A38" s="73" t="s">
        <v>108</v>
      </c>
      <c r="B38" s="34" t="s">
        <v>553</v>
      </c>
      <c r="C38" s="12"/>
      <c r="D38" s="7" t="s">
        <v>152</v>
      </c>
      <c r="E38" s="27"/>
      <c r="F38" s="90">
        <v>10000</v>
      </c>
      <c r="G38" s="51" t="s">
        <v>251</v>
      </c>
    </row>
    <row r="39" spans="1:8" ht="90.6" customHeight="1" x14ac:dyDescent="0.25">
      <c r="A39" s="73" t="s">
        <v>108</v>
      </c>
      <c r="B39" s="34" t="s">
        <v>250</v>
      </c>
      <c r="C39" s="12">
        <v>1</v>
      </c>
      <c r="D39" s="7" t="s">
        <v>152</v>
      </c>
      <c r="E39" s="27"/>
      <c r="F39" s="90">
        <v>3000</v>
      </c>
      <c r="G39" s="51" t="s">
        <v>251</v>
      </c>
    </row>
    <row r="40" spans="1:8" s="3" customFormat="1" ht="14.85" customHeight="1" x14ac:dyDescent="0.25">
      <c r="A40" s="93" t="s">
        <v>149</v>
      </c>
      <c r="B40" s="94" t="s">
        <v>252</v>
      </c>
      <c r="C40" s="16">
        <v>100</v>
      </c>
      <c r="D40" s="17" t="s">
        <v>152</v>
      </c>
      <c r="E40" s="33">
        <v>165</v>
      </c>
      <c r="F40" s="46">
        <f>E40</f>
        <v>165</v>
      </c>
      <c r="G40" s="95" t="s">
        <v>253</v>
      </c>
    </row>
    <row r="41" spans="1:8" s="3" customFormat="1" x14ac:dyDescent="0.25">
      <c r="A41" s="93"/>
      <c r="B41" s="94"/>
      <c r="C41" s="16">
        <v>150</v>
      </c>
      <c r="D41" s="17" t="s">
        <v>152</v>
      </c>
      <c r="E41" s="33">
        <v>185</v>
      </c>
      <c r="F41" s="46">
        <f t="shared" ref="F41:F50" si="2">E41</f>
        <v>185</v>
      </c>
      <c r="G41" s="96"/>
    </row>
    <row r="42" spans="1:8" s="3" customFormat="1" x14ac:dyDescent="0.25">
      <c r="A42" s="93"/>
      <c r="B42" s="94"/>
      <c r="C42" s="16">
        <v>225</v>
      </c>
      <c r="D42" s="17" t="s">
        <v>152</v>
      </c>
      <c r="E42" s="33">
        <v>250</v>
      </c>
      <c r="F42" s="46">
        <f t="shared" si="2"/>
        <v>250</v>
      </c>
      <c r="G42" s="96"/>
    </row>
    <row r="43" spans="1:8" s="3" customFormat="1" x14ac:dyDescent="0.25">
      <c r="A43" s="93"/>
      <c r="B43" s="94"/>
      <c r="C43" s="16">
        <v>300</v>
      </c>
      <c r="D43" s="17" t="s">
        <v>152</v>
      </c>
      <c r="E43" s="33">
        <v>550</v>
      </c>
      <c r="F43" s="46">
        <f t="shared" si="2"/>
        <v>550</v>
      </c>
      <c r="G43" s="96"/>
    </row>
    <row r="44" spans="1:8" s="3" customFormat="1" x14ac:dyDescent="0.25">
      <c r="A44" s="93"/>
      <c r="B44" s="94"/>
      <c r="C44" s="16">
        <v>450</v>
      </c>
      <c r="D44" s="17" t="s">
        <v>152</v>
      </c>
      <c r="E44" s="33">
        <v>700</v>
      </c>
      <c r="F44" s="46">
        <f t="shared" si="2"/>
        <v>700</v>
      </c>
      <c r="G44" s="96"/>
    </row>
    <row r="45" spans="1:8" s="3" customFormat="1" ht="14.85" customHeight="1" x14ac:dyDescent="0.25">
      <c r="A45" s="93" t="s">
        <v>149</v>
      </c>
      <c r="B45" s="94" t="s">
        <v>254</v>
      </c>
      <c r="C45" s="16">
        <v>100</v>
      </c>
      <c r="D45" s="17" t="s">
        <v>152</v>
      </c>
      <c r="E45" s="33">
        <v>165</v>
      </c>
      <c r="F45" s="46">
        <f>E45</f>
        <v>165</v>
      </c>
      <c r="G45" s="14"/>
    </row>
    <row r="46" spans="1:8" s="3" customFormat="1" x14ac:dyDescent="0.25">
      <c r="A46" s="93"/>
      <c r="B46" s="94"/>
      <c r="C46" s="16">
        <v>150</v>
      </c>
      <c r="D46" s="17" t="s">
        <v>152</v>
      </c>
      <c r="E46" s="33">
        <v>185</v>
      </c>
      <c r="F46" s="46">
        <f t="shared" si="2"/>
        <v>185</v>
      </c>
      <c r="G46" s="14"/>
    </row>
    <row r="47" spans="1:8" s="3" customFormat="1" x14ac:dyDescent="0.25">
      <c r="A47" s="93"/>
      <c r="B47" s="94"/>
      <c r="C47" s="16">
        <v>225</v>
      </c>
      <c r="D47" s="17" t="s">
        <v>152</v>
      </c>
      <c r="E47" s="33">
        <v>250</v>
      </c>
      <c r="F47" s="46">
        <f t="shared" si="2"/>
        <v>250</v>
      </c>
      <c r="G47" s="14" t="s">
        <v>255</v>
      </c>
    </row>
    <row r="48" spans="1:8" s="3" customFormat="1" ht="28.5" x14ac:dyDescent="0.25">
      <c r="A48" s="73" t="s">
        <v>149</v>
      </c>
      <c r="B48" s="74" t="s">
        <v>256</v>
      </c>
      <c r="C48" s="15"/>
      <c r="D48" s="17" t="s">
        <v>118</v>
      </c>
      <c r="E48" s="33">
        <v>4700</v>
      </c>
      <c r="F48" s="46">
        <f t="shared" si="2"/>
        <v>4700</v>
      </c>
      <c r="G48" s="14" t="s">
        <v>257</v>
      </c>
    </row>
    <row r="49" spans="1:7" s="3" customFormat="1" x14ac:dyDescent="0.25">
      <c r="A49" s="73" t="s">
        <v>149</v>
      </c>
      <c r="B49" s="74" t="s">
        <v>258</v>
      </c>
      <c r="C49" s="15"/>
      <c r="D49" s="17" t="s">
        <v>118</v>
      </c>
      <c r="E49" s="33">
        <f>1750</f>
        <v>1750</v>
      </c>
      <c r="F49" s="46">
        <f t="shared" si="2"/>
        <v>1750</v>
      </c>
      <c r="G49" s="11" t="s">
        <v>259</v>
      </c>
    </row>
    <row r="50" spans="1:7" s="3" customFormat="1" ht="45.6" customHeight="1" x14ac:dyDescent="0.25">
      <c r="A50" s="73" t="s">
        <v>149</v>
      </c>
      <c r="B50" s="74" t="s">
        <v>260</v>
      </c>
      <c r="C50" s="15"/>
      <c r="D50" s="17" t="s">
        <v>118</v>
      </c>
      <c r="E50" s="33">
        <f>1.5*3100</f>
        <v>4650</v>
      </c>
      <c r="F50" s="46">
        <f t="shared" si="2"/>
        <v>4650</v>
      </c>
      <c r="G50" s="11" t="s">
        <v>261</v>
      </c>
    </row>
    <row r="51" spans="1:7" s="3" customFormat="1" ht="30.75" customHeight="1" x14ac:dyDescent="0.25">
      <c r="A51" s="73" t="s">
        <v>149</v>
      </c>
      <c r="B51" s="74" t="s">
        <v>262</v>
      </c>
      <c r="C51" s="16" t="s">
        <v>263</v>
      </c>
      <c r="D51" s="7" t="s">
        <v>118</v>
      </c>
      <c r="E51" s="27">
        <v>450000</v>
      </c>
      <c r="F51" s="46">
        <f t="shared" ref="F51" si="3">E51</f>
        <v>450000</v>
      </c>
      <c r="G51" s="11" t="s">
        <v>264</v>
      </c>
    </row>
    <row r="52" spans="1:7" s="3" customFormat="1" ht="45.6" customHeight="1" x14ac:dyDescent="0.25">
      <c r="A52" s="73" t="s">
        <v>149</v>
      </c>
      <c r="B52" s="74" t="s">
        <v>265</v>
      </c>
      <c r="C52" s="16">
        <v>30</v>
      </c>
      <c r="D52" s="17" t="s">
        <v>152</v>
      </c>
      <c r="E52" s="33">
        <v>36000</v>
      </c>
      <c r="F52" s="46">
        <f>E52/C52</f>
        <v>1200</v>
      </c>
      <c r="G52" s="11"/>
    </row>
    <row r="53" spans="1:7" s="3" customFormat="1" ht="45.6" customHeight="1" x14ac:dyDescent="0.25">
      <c r="A53" s="73" t="s">
        <v>149</v>
      </c>
      <c r="B53" s="74" t="s">
        <v>266</v>
      </c>
      <c r="C53" s="16"/>
      <c r="D53" s="7" t="s">
        <v>118</v>
      </c>
      <c r="E53" s="33"/>
      <c r="F53" s="46">
        <f>525000/2+90000</f>
        <v>352500</v>
      </c>
      <c r="G53" s="11" t="s">
        <v>328</v>
      </c>
    </row>
    <row r="54" spans="1:7" s="3" customFormat="1" ht="45.6" customHeight="1" x14ac:dyDescent="0.25">
      <c r="A54" s="73" t="s">
        <v>149</v>
      </c>
      <c r="B54" s="74" t="s">
        <v>464</v>
      </c>
      <c r="C54" s="16"/>
      <c r="D54" s="7" t="s">
        <v>118</v>
      </c>
      <c r="E54" s="33"/>
      <c r="F54" s="46">
        <f>5500*6+10*280</f>
        <v>35800</v>
      </c>
      <c r="G54" s="11" t="s">
        <v>465</v>
      </c>
    </row>
    <row r="55" spans="1:7" s="3" customFormat="1" ht="45.6" customHeight="1" x14ac:dyDescent="0.25">
      <c r="A55" s="73" t="s">
        <v>149</v>
      </c>
      <c r="B55" s="74" t="s">
        <v>267</v>
      </c>
      <c r="C55" s="16"/>
      <c r="D55" s="7" t="s">
        <v>118</v>
      </c>
      <c r="E55" s="33"/>
      <c r="F55" s="46">
        <f>5*14000+700*135+350000+15000*45</f>
        <v>1189500</v>
      </c>
      <c r="G55" s="50" t="s">
        <v>486</v>
      </c>
    </row>
    <row r="56" spans="1:7" s="3" customFormat="1" ht="63" customHeight="1" x14ac:dyDescent="0.25">
      <c r="A56" s="73" t="s">
        <v>149</v>
      </c>
      <c r="B56" s="74" t="s">
        <v>268</v>
      </c>
      <c r="C56" s="16"/>
      <c r="D56" s="7" t="s">
        <v>118</v>
      </c>
      <c r="E56" s="33"/>
      <c r="F56" s="46">
        <f>12*14000+700*135+700000+6000*15</f>
        <v>1052500</v>
      </c>
      <c r="G56" s="50" t="s">
        <v>269</v>
      </c>
    </row>
    <row r="57" spans="1:7" s="3" customFormat="1" ht="63" customHeight="1" x14ac:dyDescent="0.25">
      <c r="A57" s="73" t="s">
        <v>149</v>
      </c>
      <c r="B57" s="74" t="s">
        <v>346</v>
      </c>
      <c r="C57" s="16"/>
      <c r="D57" s="7" t="s">
        <v>118</v>
      </c>
      <c r="E57" s="33"/>
      <c r="F57" s="46">
        <f>700000+6000*15</f>
        <v>790000</v>
      </c>
      <c r="G57" s="50" t="s">
        <v>347</v>
      </c>
    </row>
    <row r="58" spans="1:7" s="3" customFormat="1" ht="45.6" customHeight="1" x14ac:dyDescent="0.25">
      <c r="A58" s="73" t="s">
        <v>149</v>
      </c>
      <c r="B58" s="74" t="s">
        <v>506</v>
      </c>
      <c r="C58" s="16"/>
      <c r="D58" s="7" t="s">
        <v>118</v>
      </c>
      <c r="E58" s="33"/>
      <c r="F58" s="46">
        <v>650000</v>
      </c>
      <c r="G58" s="50" t="s">
        <v>505</v>
      </c>
    </row>
    <row r="59" spans="1:7" s="3" customFormat="1" ht="63" customHeight="1" x14ac:dyDescent="0.25">
      <c r="A59" s="73" t="s">
        <v>43</v>
      </c>
      <c r="B59" s="74" t="s">
        <v>427</v>
      </c>
      <c r="C59" s="16"/>
      <c r="D59" s="7" t="s">
        <v>118</v>
      </c>
      <c r="E59" s="33"/>
      <c r="F59" s="46">
        <v>1100000</v>
      </c>
      <c r="G59" s="50" t="s">
        <v>426</v>
      </c>
    </row>
    <row r="84" spans="1:1" x14ac:dyDescent="0.25">
      <c r="A84"/>
    </row>
  </sheetData>
  <sheetProtection algorithmName="SHA-512" hashValue="yxRDi1oTkpPT+TNuYuVy8rlDPQ3CI6C2biick1EDERM88Ute32XBeEb1hEXNGPpO28zlB7OTVeR+glr1arTQCg==" saltValue="3BJU0mYY9bP2UZpgU6GBjQ==" spinCount="100000" sheet="1" objects="1" scenarios="1"/>
  <autoFilter ref="A3:G52" xr:uid="{9C1E99A5-EB33-438A-A754-92A687C1AE8B}"/>
  <mergeCells count="5">
    <mergeCell ref="A40:A44"/>
    <mergeCell ref="A45:A47"/>
    <mergeCell ref="B40:B44"/>
    <mergeCell ref="G40:G44"/>
    <mergeCell ref="B45:B47"/>
  </mergeCells>
  <phoneticPr fontId="4" type="noConversion"/>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2E458-1C03-4DEE-8B8E-705D32F10F1D}">
  <dimension ref="A1:B35"/>
  <sheetViews>
    <sheetView workbookViewId="0">
      <selection activeCell="B16" sqref="B16"/>
    </sheetView>
  </sheetViews>
  <sheetFormatPr defaultRowHeight="15" x14ac:dyDescent="0.25"/>
  <cols>
    <col min="1" max="1" width="8.5703125" style="1"/>
    <col min="2" max="2" width="111.42578125" bestFit="1" customWidth="1"/>
  </cols>
  <sheetData>
    <row r="1" spans="1:2" x14ac:dyDescent="0.25">
      <c r="A1" s="26" t="s">
        <v>16</v>
      </c>
      <c r="B1" s="37" t="s">
        <v>17</v>
      </c>
    </row>
    <row r="2" spans="1:2" x14ac:dyDescent="0.25">
      <c r="A2" s="40">
        <v>1</v>
      </c>
      <c r="B2" s="4" t="s">
        <v>270</v>
      </c>
    </row>
    <row r="3" spans="1:2" x14ac:dyDescent="0.25">
      <c r="A3" s="40">
        <v>2</v>
      </c>
      <c r="B3" s="4" t="s">
        <v>446</v>
      </c>
    </row>
    <row r="4" spans="1:2" x14ac:dyDescent="0.25">
      <c r="A4" s="40">
        <v>3</v>
      </c>
      <c r="B4" s="4" t="s">
        <v>271</v>
      </c>
    </row>
    <row r="5" spans="1:2" x14ac:dyDescent="0.25">
      <c r="A5" s="40">
        <v>4</v>
      </c>
      <c r="B5" s="4" t="s">
        <v>447</v>
      </c>
    </row>
    <row r="6" spans="1:2" x14ac:dyDescent="0.25">
      <c r="A6" s="40">
        <v>5</v>
      </c>
      <c r="B6" s="47" t="s">
        <v>272</v>
      </c>
    </row>
    <row r="7" spans="1:2" ht="30" x14ac:dyDescent="0.25">
      <c r="A7" s="40">
        <v>6</v>
      </c>
      <c r="B7" s="47" t="s">
        <v>273</v>
      </c>
    </row>
    <row r="8" spans="1:2" x14ac:dyDescent="0.25">
      <c r="A8" s="40">
        <v>7</v>
      </c>
      <c r="B8" s="4" t="s">
        <v>274</v>
      </c>
    </row>
    <row r="9" spans="1:2" x14ac:dyDescent="0.25">
      <c r="A9" s="40">
        <v>8</v>
      </c>
      <c r="B9" s="4" t="s">
        <v>275</v>
      </c>
    </row>
    <row r="10" spans="1:2" ht="45" x14ac:dyDescent="0.25">
      <c r="A10" s="40">
        <v>9</v>
      </c>
      <c r="B10" s="47" t="s">
        <v>276</v>
      </c>
    </row>
    <row r="11" spans="1:2" x14ac:dyDescent="0.25">
      <c r="A11" s="40">
        <v>10</v>
      </c>
      <c r="B11" s="4" t="s">
        <v>445</v>
      </c>
    </row>
    <row r="12" spans="1:2" x14ac:dyDescent="0.25">
      <c r="A12" s="40"/>
      <c r="B12" s="4"/>
    </row>
    <row r="13" spans="1:2" x14ac:dyDescent="0.25">
      <c r="A13" s="40"/>
      <c r="B13" s="4"/>
    </row>
    <row r="14" spans="1:2" x14ac:dyDescent="0.25">
      <c r="A14" s="40"/>
      <c r="B14" s="4"/>
    </row>
    <row r="15" spans="1:2" x14ac:dyDescent="0.25">
      <c r="A15" s="40"/>
      <c r="B15" s="4"/>
    </row>
    <row r="16" spans="1:2" x14ac:dyDescent="0.25">
      <c r="A16" s="40"/>
      <c r="B16" s="4"/>
    </row>
    <row r="17" spans="1:2" x14ac:dyDescent="0.25">
      <c r="A17" s="40"/>
      <c r="B17" s="4"/>
    </row>
    <row r="18" spans="1:2" x14ac:dyDescent="0.25">
      <c r="A18" s="40"/>
      <c r="B18" s="4"/>
    </row>
    <row r="19" spans="1:2" x14ac:dyDescent="0.25">
      <c r="A19" s="40"/>
      <c r="B19" s="4"/>
    </row>
    <row r="20" spans="1:2" x14ac:dyDescent="0.25">
      <c r="A20" s="40"/>
      <c r="B20" s="4"/>
    </row>
    <row r="21" spans="1:2" x14ac:dyDescent="0.25">
      <c r="A21" s="40"/>
      <c r="B21" s="4"/>
    </row>
    <row r="22" spans="1:2" x14ac:dyDescent="0.25">
      <c r="A22" s="40"/>
      <c r="B22" s="4"/>
    </row>
    <row r="23" spans="1:2" x14ac:dyDescent="0.25">
      <c r="A23" s="40"/>
      <c r="B23" s="4"/>
    </row>
    <row r="24" spans="1:2" x14ac:dyDescent="0.25">
      <c r="A24" s="40"/>
      <c r="B24" s="4"/>
    </row>
    <row r="25" spans="1:2" x14ac:dyDescent="0.25">
      <c r="A25" s="40"/>
      <c r="B25" s="4"/>
    </row>
    <row r="26" spans="1:2" x14ac:dyDescent="0.25">
      <c r="A26" s="40"/>
      <c r="B26" s="4"/>
    </row>
    <row r="27" spans="1:2" x14ac:dyDescent="0.25">
      <c r="A27" s="40"/>
      <c r="B27" s="4"/>
    </row>
    <row r="28" spans="1:2" x14ac:dyDescent="0.25">
      <c r="A28" s="40"/>
      <c r="B28" s="4"/>
    </row>
    <row r="29" spans="1:2" x14ac:dyDescent="0.25">
      <c r="A29" s="40"/>
      <c r="B29" s="4"/>
    </row>
    <row r="30" spans="1:2" x14ac:dyDescent="0.25">
      <c r="A30" s="40"/>
      <c r="B30" s="4"/>
    </row>
    <row r="31" spans="1:2" x14ac:dyDescent="0.25">
      <c r="A31" s="40"/>
      <c r="B31" s="4"/>
    </row>
    <row r="32" spans="1:2" x14ac:dyDescent="0.25">
      <c r="A32" s="40"/>
      <c r="B32" s="4"/>
    </row>
    <row r="33" spans="1:2" x14ac:dyDescent="0.25">
      <c r="A33" s="40"/>
      <c r="B33" s="4"/>
    </row>
    <row r="34" spans="1:2" x14ac:dyDescent="0.25">
      <c r="A34" s="40"/>
      <c r="B34" s="4"/>
    </row>
    <row r="35" spans="1:2" x14ac:dyDescent="0.25">
      <c r="A35" s="40"/>
      <c r="B35" s="4"/>
    </row>
  </sheetData>
  <sheetProtection algorithmName="SHA-512" hashValue="cQZnUKIl3ntVOHiDHaJd+LKKEg+xlXkP/7O+uF/k/B+zOQFsn8Lzln0jzqcZ8tFz2oc2fn/2WxVQJYb7bR1X6g==" saltValue="w3+/YcMcL6u1MGR4htMa5w=="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B3C96-37E5-43C2-AF96-1335D5306111}">
  <dimension ref="A3:K12"/>
  <sheetViews>
    <sheetView zoomScale="70" zoomScaleNormal="70" workbookViewId="0">
      <selection activeCell="R32" sqref="R32"/>
    </sheetView>
  </sheetViews>
  <sheetFormatPr defaultRowHeight="15" x14ac:dyDescent="0.25"/>
  <sheetData>
    <row r="3" spans="1:11" x14ac:dyDescent="0.25">
      <c r="A3" t="s">
        <v>277</v>
      </c>
    </row>
    <row r="5" spans="1:11" x14ac:dyDescent="0.25">
      <c r="C5" t="s">
        <v>278</v>
      </c>
    </row>
    <row r="6" spans="1:11" x14ac:dyDescent="0.25">
      <c r="C6" t="s">
        <v>279</v>
      </c>
      <c r="D6">
        <f>1.25*4900</f>
        <v>6125</v>
      </c>
      <c r="F6" t="s">
        <v>280</v>
      </c>
    </row>
    <row r="7" spans="1:11" x14ac:dyDescent="0.25">
      <c r="C7" t="s">
        <v>281</v>
      </c>
      <c r="D7">
        <v>1300</v>
      </c>
      <c r="F7" t="s">
        <v>282</v>
      </c>
    </row>
    <row r="8" spans="1:11" x14ac:dyDescent="0.25">
      <c r="C8" s="52" t="s">
        <v>283</v>
      </c>
      <c r="D8">
        <f>19*150</f>
        <v>2850</v>
      </c>
    </row>
    <row r="10" spans="1:11" x14ac:dyDescent="0.25">
      <c r="B10" t="s">
        <v>285</v>
      </c>
      <c r="K10" t="s">
        <v>284</v>
      </c>
    </row>
    <row r="11" spans="1:11" x14ac:dyDescent="0.25">
      <c r="B11" s="54" t="s">
        <v>286</v>
      </c>
    </row>
    <row r="12" spans="1:11" x14ac:dyDescent="0.25">
      <c r="B12" s="54" t="s">
        <v>287</v>
      </c>
    </row>
  </sheetData>
  <sheetProtection algorithmName="SHA-512" hashValue="x3lrRnoYjamRFY7m96C0lqt/ij5CqnGnCyh3s1TD4fB3qT0B7M8/NC8sDyil68/I4bPrYVV7/PR51GuLZCl/1A==" saltValue="Lcung16gHBwu+okbWCKfiA==" spinCount="100000" sheet="1" objects="1" scenario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AE79E-648B-47F6-8526-1BA319B448B9}">
  <dimension ref="B2:U34"/>
  <sheetViews>
    <sheetView zoomScale="80" zoomScaleNormal="80" workbookViewId="0">
      <selection activeCell="N32" sqref="N32"/>
    </sheetView>
  </sheetViews>
  <sheetFormatPr defaultRowHeight="15" x14ac:dyDescent="0.25"/>
  <sheetData>
    <row r="2" spans="9:21" x14ac:dyDescent="0.25">
      <c r="I2" s="53">
        <v>0.2</v>
      </c>
      <c r="J2" t="s">
        <v>288</v>
      </c>
    </row>
    <row r="3" spans="9:21" x14ac:dyDescent="0.25">
      <c r="I3">
        <f>ROUNDUP(K3*(1+$I$2),-2)</f>
        <v>6200</v>
      </c>
      <c r="J3" t="s">
        <v>152</v>
      </c>
      <c r="K3">
        <v>5100</v>
      </c>
      <c r="L3" t="s">
        <v>289</v>
      </c>
    </row>
    <row r="4" spans="9:21" x14ac:dyDescent="0.25">
      <c r="I4">
        <f t="shared" ref="I4:I6" si="0">ROUNDUP(K4*(1+$I$2),-2)</f>
        <v>4600</v>
      </c>
      <c r="J4" t="s">
        <v>152</v>
      </c>
      <c r="K4">
        <f>3800</f>
        <v>3800</v>
      </c>
      <c r="L4" t="s">
        <v>290</v>
      </c>
    </row>
    <row r="5" spans="9:21" x14ac:dyDescent="0.25">
      <c r="I5">
        <f t="shared" si="0"/>
        <v>2300</v>
      </c>
      <c r="J5" t="s">
        <v>152</v>
      </c>
      <c r="K5">
        <v>1900</v>
      </c>
      <c r="L5" t="s">
        <v>291</v>
      </c>
    </row>
    <row r="6" spans="9:21" x14ac:dyDescent="0.25">
      <c r="I6">
        <f t="shared" si="0"/>
        <v>2700</v>
      </c>
      <c r="J6" t="s">
        <v>152</v>
      </c>
      <c r="K6">
        <v>2200</v>
      </c>
      <c r="L6" t="s">
        <v>292</v>
      </c>
    </row>
    <row r="7" spans="9:21" x14ac:dyDescent="0.25">
      <c r="I7">
        <f>ROUNDUP(K7*(1+$I$2),-2)</f>
        <v>4500</v>
      </c>
      <c r="J7" t="s">
        <v>152</v>
      </c>
      <c r="K7">
        <v>3700</v>
      </c>
      <c r="L7" t="s">
        <v>293</v>
      </c>
    </row>
    <row r="8" spans="9:21" x14ac:dyDescent="0.25">
      <c r="I8">
        <v>3600</v>
      </c>
      <c r="J8" t="s">
        <v>294</v>
      </c>
      <c r="L8" t="s">
        <v>295</v>
      </c>
    </row>
    <row r="9" spans="9:21" x14ac:dyDescent="0.25">
      <c r="I9">
        <f>ROUNDUP(K9*(1+$I$2),-2)</f>
        <v>12900</v>
      </c>
      <c r="J9" t="s">
        <v>152</v>
      </c>
      <c r="K9">
        <v>10700</v>
      </c>
      <c r="L9" t="s">
        <v>296</v>
      </c>
    </row>
    <row r="10" spans="9:21" x14ac:dyDescent="0.25">
      <c r="I10" t="s">
        <v>297</v>
      </c>
    </row>
    <row r="12" spans="9:21" x14ac:dyDescent="0.25">
      <c r="I12">
        <v>7000</v>
      </c>
      <c r="J12" t="s">
        <v>152</v>
      </c>
      <c r="L12" t="s">
        <v>298</v>
      </c>
    </row>
    <row r="15" spans="9:21" x14ac:dyDescent="0.25">
      <c r="Q15" t="s">
        <v>479</v>
      </c>
      <c r="S15" t="s">
        <v>481</v>
      </c>
      <c r="T15">
        <v>1000</v>
      </c>
      <c r="U15" t="s">
        <v>480</v>
      </c>
    </row>
    <row r="16" spans="9:21" x14ac:dyDescent="0.25">
      <c r="S16" t="s">
        <v>482</v>
      </c>
      <c r="T16">
        <v>1000</v>
      </c>
      <c r="U16" t="s">
        <v>483</v>
      </c>
    </row>
    <row r="17" spans="2:21" x14ac:dyDescent="0.25">
      <c r="S17" t="s">
        <v>484</v>
      </c>
      <c r="T17">
        <v>1400</v>
      </c>
      <c r="U17" t="s">
        <v>480</v>
      </c>
    </row>
    <row r="20" spans="2:21" x14ac:dyDescent="0.25">
      <c r="B20" t="s">
        <v>299</v>
      </c>
      <c r="D20" s="52" t="s">
        <v>107</v>
      </c>
      <c r="E20" t="s">
        <v>279</v>
      </c>
      <c r="G20" s="52" t="s">
        <v>107</v>
      </c>
    </row>
    <row r="21" spans="2:21" x14ac:dyDescent="0.25">
      <c r="D21" s="52" t="s">
        <v>300</v>
      </c>
      <c r="E21" t="s">
        <v>301</v>
      </c>
      <c r="G21" t="s">
        <v>47</v>
      </c>
    </row>
    <row r="22" spans="2:21" x14ac:dyDescent="0.25">
      <c r="D22" s="52" t="s">
        <v>300</v>
      </c>
      <c r="E22" t="s">
        <v>301</v>
      </c>
      <c r="G22" t="s">
        <v>47</v>
      </c>
    </row>
    <row r="23" spans="2:21" x14ac:dyDescent="0.25">
      <c r="D23" s="52" t="s">
        <v>302</v>
      </c>
      <c r="E23" t="s">
        <v>303</v>
      </c>
      <c r="G23" t="s">
        <v>47</v>
      </c>
    </row>
    <row r="24" spans="2:21" x14ac:dyDescent="0.25">
      <c r="D24" s="52" t="s">
        <v>302</v>
      </c>
      <c r="E24" t="s">
        <v>304</v>
      </c>
      <c r="G24" t="s">
        <v>47</v>
      </c>
    </row>
    <row r="25" spans="2:21" x14ac:dyDescent="0.25">
      <c r="D25" s="52" t="s">
        <v>305</v>
      </c>
      <c r="E25" t="s">
        <v>306</v>
      </c>
      <c r="G25" t="s">
        <v>47</v>
      </c>
    </row>
    <row r="26" spans="2:21" x14ac:dyDescent="0.25">
      <c r="D26" s="52" t="s">
        <v>307</v>
      </c>
      <c r="E26" t="s">
        <v>301</v>
      </c>
      <c r="G26" t="s">
        <v>47</v>
      </c>
    </row>
    <row r="27" spans="2:21" x14ac:dyDescent="0.25">
      <c r="D27" s="52" t="s">
        <v>308</v>
      </c>
      <c r="E27" t="s">
        <v>309</v>
      </c>
      <c r="G27" t="s">
        <v>47</v>
      </c>
    </row>
    <row r="28" spans="2:21" x14ac:dyDescent="0.25">
      <c r="D28" s="52" t="s">
        <v>300</v>
      </c>
      <c r="E28" t="s">
        <v>301</v>
      </c>
      <c r="G28" t="s">
        <v>47</v>
      </c>
    </row>
    <row r="29" spans="2:21" x14ac:dyDescent="0.25">
      <c r="D29" s="52" t="s">
        <v>310</v>
      </c>
      <c r="E29" t="s">
        <v>309</v>
      </c>
      <c r="G29" t="s">
        <v>47</v>
      </c>
    </row>
    <row r="30" spans="2:21" x14ac:dyDescent="0.25">
      <c r="D30" s="52" t="s">
        <v>311</v>
      </c>
      <c r="E30" t="s">
        <v>309</v>
      </c>
      <c r="G30" t="s">
        <v>47</v>
      </c>
    </row>
    <row r="31" spans="2:21" x14ac:dyDescent="0.25">
      <c r="D31" s="52" t="s">
        <v>300</v>
      </c>
      <c r="E31" t="s">
        <v>301</v>
      </c>
      <c r="G31" t="s">
        <v>47</v>
      </c>
    </row>
    <row r="32" spans="2:21" x14ac:dyDescent="0.25">
      <c r="D32" s="52" t="s">
        <v>300</v>
      </c>
      <c r="E32" t="s">
        <v>301</v>
      </c>
      <c r="G32" t="s">
        <v>47</v>
      </c>
    </row>
    <row r="33" spans="4:7" x14ac:dyDescent="0.25">
      <c r="D33" s="52" t="s">
        <v>71</v>
      </c>
      <c r="E33" t="s">
        <v>279</v>
      </c>
      <c r="G33" t="s">
        <v>71</v>
      </c>
    </row>
    <row r="34" spans="4:7" x14ac:dyDescent="0.25">
      <c r="D34" s="52"/>
    </row>
  </sheetData>
  <phoneticPr fontId="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DC8D-9108-40A5-A7F3-916C258B57BD}">
  <dimension ref="B3:C10"/>
  <sheetViews>
    <sheetView zoomScale="80" zoomScaleNormal="80" workbookViewId="0">
      <selection activeCell="J24" sqref="J24"/>
    </sheetView>
  </sheetViews>
  <sheetFormatPr defaultRowHeight="15" x14ac:dyDescent="0.25"/>
  <sheetData>
    <row r="3" spans="2:3" x14ac:dyDescent="0.25">
      <c r="C3" t="s">
        <v>312</v>
      </c>
    </row>
    <row r="4" spans="2:3" x14ac:dyDescent="0.25">
      <c r="C4" t="s">
        <v>313</v>
      </c>
    </row>
    <row r="5" spans="2:3" x14ac:dyDescent="0.25">
      <c r="C5" t="s">
        <v>314</v>
      </c>
    </row>
    <row r="8" spans="2:3" x14ac:dyDescent="0.25">
      <c r="B8" t="s">
        <v>315</v>
      </c>
    </row>
    <row r="9" spans="2:3" x14ac:dyDescent="0.25">
      <c r="B9" t="s">
        <v>316</v>
      </c>
    </row>
    <row r="10" spans="2:3" x14ac:dyDescent="0.25">
      <c r="B10" t="s">
        <v>317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324d86-e374-4627-a11e-fc613a9064fc" xsi:nil="true"/>
    <lcf76f155ced4ddcb4097134ff3c332f xmlns="67d82efc-258c-4573-8306-bb638674d0f4">
      <Terms xmlns="http://schemas.microsoft.com/office/infopath/2007/PartnerControls"/>
    </lcf76f155ced4ddcb4097134ff3c332f>
    <Comments xmlns="67d82efc-258c-4573-8306-bb638674d0f4" xsi:nil="true"/>
    <SharedWithUsers xmlns="22324d86-e374-4627-a11e-fc613a9064f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EE0DFE9E795346B3FF290C539D54BD" ma:contentTypeVersion="15" ma:contentTypeDescription="Create a new document." ma:contentTypeScope="" ma:versionID="5731989f97378cd80ab459a89371c3af">
  <xsd:schema xmlns:xsd="http://www.w3.org/2001/XMLSchema" xmlns:xs="http://www.w3.org/2001/XMLSchema" xmlns:p="http://schemas.microsoft.com/office/2006/metadata/properties" xmlns:ns2="67d82efc-258c-4573-8306-bb638674d0f4" xmlns:ns3="22324d86-e374-4627-a11e-fc613a9064fc" targetNamespace="http://schemas.microsoft.com/office/2006/metadata/properties" ma:root="true" ma:fieldsID="847f3c5cb76a4b5a836b2444a7dd3f66" ns2:_="" ns3:_="">
    <xsd:import namespace="67d82efc-258c-4573-8306-bb638674d0f4"/>
    <xsd:import namespace="22324d86-e374-4627-a11e-fc613a9064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82efc-258c-4573-8306-bb638674d0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3a8d114-42e4-48f3-a9b0-182603090d6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324d86-e374-4627-a11e-fc613a9064f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6a9e7a1-d11d-4a0b-98ea-74839fbae096}" ma:internalName="TaxCatchAll" ma:showField="CatchAllData" ma:web="22324d86-e374-4627-a11e-fc613a9064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844430-A9E5-4D21-9B1F-32C56A12111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22324d86-e374-4627-a11e-fc613a9064fc"/>
    <ds:schemaRef ds:uri="http://schemas.microsoft.com/office/2006/documentManagement/types"/>
    <ds:schemaRef ds:uri="http://schemas.microsoft.com/office/infopath/2007/PartnerControls"/>
    <ds:schemaRef ds:uri="67d82efc-258c-4573-8306-bb638674d0f4"/>
    <ds:schemaRef ds:uri="http://purl.org/dc/dcmitype/"/>
  </ds:schemaRefs>
</ds:datastoreItem>
</file>

<file path=customXml/itemProps2.xml><?xml version="1.0" encoding="utf-8"?>
<ds:datastoreItem xmlns:ds="http://schemas.openxmlformats.org/officeDocument/2006/customXml" ds:itemID="{040F2A6E-4820-4DE7-A790-0AD4CE483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82efc-258c-4573-8306-bb638674d0f4"/>
    <ds:schemaRef ds:uri="22324d86-e374-4627-a11e-fc613a906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ED300D-F662-49DA-8DDB-416A01888E7B}">
  <ds:schemaRefs>
    <ds:schemaRef ds:uri="http://schemas.microsoft.com/sharepoint/v3/contenttype/forms"/>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77</vt:i4>
      </vt:variant>
    </vt:vector>
  </HeadingPairs>
  <TitlesOfParts>
    <vt:vector size="85" baseType="lpstr">
      <vt:lpstr>Instructions</vt:lpstr>
      <vt:lpstr>Cost_Estimate_Summary</vt:lpstr>
      <vt:lpstr>Cost_Estimates</vt:lpstr>
      <vt:lpstr>Reference Costings</vt:lpstr>
      <vt:lpstr>Assumptions</vt:lpstr>
      <vt:lpstr>Piopiotahi_30112020</vt:lpstr>
      <vt:lpstr>Corridor_30112020</vt:lpstr>
      <vt:lpstr>Te Anau_30112020</vt:lpstr>
      <vt:lpstr>Bus_Shelter_Basic</vt:lpstr>
      <vt:lpstr>Bus_Shelter_Light</vt:lpstr>
      <vt:lpstr>Bus_Shelter_Minor</vt:lpstr>
      <vt:lpstr>Bus_Shelter_Robust</vt:lpstr>
      <vt:lpstr>CarParking_BySpace</vt:lpstr>
      <vt:lpstr>Carriageway</vt:lpstr>
      <vt:lpstr>ConcreteReservoir_500m3</vt:lpstr>
      <vt:lpstr>CoveredWalkway</vt:lpstr>
      <vt:lpstr>Demolition</vt:lpstr>
      <vt:lpstr>Experience_Hub</vt:lpstr>
      <vt:lpstr>GateValve</vt:lpstr>
      <vt:lpstr>Generator</vt:lpstr>
      <vt:lpstr>Gravity_100mm</vt:lpstr>
      <vt:lpstr>Gravity_150mm</vt:lpstr>
      <vt:lpstr>Gravity_225mm</vt:lpstr>
      <vt:lpstr>Gravity_300mm</vt:lpstr>
      <vt:lpstr>Gravity_450mm</vt:lpstr>
      <vt:lpstr>HomerTunnel</vt:lpstr>
      <vt:lpstr>Cost_Estimate_Summary!Hotel_100Bed</vt:lpstr>
      <vt:lpstr>Hotel_100Bed</vt:lpstr>
      <vt:lpstr>Hotel2Star</vt:lpstr>
      <vt:lpstr>Hotel3Star</vt:lpstr>
      <vt:lpstr>Hydrant_install_cost</vt:lpstr>
      <vt:lpstr>Hydrant_Water</vt:lpstr>
      <vt:lpstr>Knobs_Flat_WW</vt:lpstr>
      <vt:lpstr>Land_Purchase</vt:lpstr>
      <vt:lpstr>LandDevelopment_halfmetredeep</vt:lpstr>
      <vt:lpstr>Landscaping</vt:lpstr>
      <vt:lpstr>Manhole_1050mm</vt:lpstr>
      <vt:lpstr>Manhole_install_cost</vt:lpstr>
      <vt:lpstr>Metalled_Pavement</vt:lpstr>
      <vt:lpstr>Motel_2star</vt:lpstr>
      <vt:lpstr>Cost_Estimate_Summary!MS_Bunker_Early</vt:lpstr>
      <vt:lpstr>MS_Bunker_Early</vt:lpstr>
      <vt:lpstr>Cost_Estimate_Summary!MS_Bunker_Moderate</vt:lpstr>
      <vt:lpstr>Cost_Estimate_Summary!MS_BusStop_Robust</vt:lpstr>
      <vt:lpstr>MS_BusStop_Robust</vt:lpstr>
      <vt:lpstr>Cost_Estimate_Summary!MS_Hotel_Baseline</vt:lpstr>
      <vt:lpstr>MS_Hotel_Baseline</vt:lpstr>
      <vt:lpstr>Cost_Estimate_Summary!MS_Hotel_ExO</vt:lpstr>
      <vt:lpstr>MS_Hotel_ExO</vt:lpstr>
      <vt:lpstr>Cost_Estimate_Summary!MS_HotelBaseline</vt:lpstr>
      <vt:lpstr>MS_HotelBaseline</vt:lpstr>
      <vt:lpstr>Cost_Estimate_Summary!MS_StaffAcc_Baseline</vt:lpstr>
      <vt:lpstr>MS_StaffAcc_Baseline</vt:lpstr>
      <vt:lpstr>Cost_Estimate_Summary!MS_StaffAcc_ExO</vt:lpstr>
      <vt:lpstr>MS_StaffAcc_ExO</vt:lpstr>
      <vt:lpstr>National_Park_Entrance</vt:lpstr>
      <vt:lpstr>Pavement_Developed</vt:lpstr>
      <vt:lpstr>Piopiotahi_WW</vt:lpstr>
      <vt:lpstr>Pontoon</vt:lpstr>
      <vt:lpstr>Power_Cabling</vt:lpstr>
      <vt:lpstr>Premiere_Landscaping</vt:lpstr>
      <vt:lpstr>Pressure_100mm</vt:lpstr>
      <vt:lpstr>Pressure_150mm</vt:lpstr>
      <vt:lpstr>Pressure_225mm</vt:lpstr>
      <vt:lpstr>Cost_Estimate_Summary!Print_Area</vt:lpstr>
      <vt:lpstr>Cost_Estimates!Print_Area</vt:lpstr>
      <vt:lpstr>PW_Treatment</vt:lpstr>
      <vt:lpstr>RemovePavement</vt:lpstr>
      <vt:lpstr>RetainingWall</vt:lpstr>
      <vt:lpstr>Safety_Improvement</vt:lpstr>
      <vt:lpstr>ToiletBlock</vt:lpstr>
      <vt:lpstr>Track_Cycleway</vt:lpstr>
      <vt:lpstr>Track_Premium</vt:lpstr>
      <vt:lpstr>Track_Tramping</vt:lpstr>
      <vt:lpstr>Track_Wheelchair</vt:lpstr>
      <vt:lpstr>Transformer</vt:lpstr>
      <vt:lpstr>Transport_Buses</vt:lpstr>
      <vt:lpstr>Transport_Shuttles</vt:lpstr>
      <vt:lpstr>Turbine</vt:lpstr>
      <vt:lpstr>Valve_install_cost</vt:lpstr>
      <vt:lpstr>VaultedToilet</vt:lpstr>
      <vt:lpstr>ViewingPlatform</vt:lpstr>
      <vt:lpstr>Well_Development</vt:lpstr>
      <vt:lpstr>Wharf</vt:lpstr>
      <vt:lpstr>WW_TreatmentPackage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Bishop, Shane</dc:creator>
  <cp:keywords/>
  <dc:description/>
  <cp:lastModifiedBy>Yazmin Ocaña</cp:lastModifiedBy>
  <cp:revision/>
  <dcterms:created xsi:type="dcterms:W3CDTF">2020-10-20T22:23:24Z</dcterms:created>
  <dcterms:modified xsi:type="dcterms:W3CDTF">2025-04-30T04:24:58Z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0x010100BEEE0DFE9E795346B3FF290C539D54BD</vt:lpwstr>
  </property>
  <property fmtid="{D5CDD505-2E9C-101B-9397-08002B2CF9AE}" pid="3" name="Order">
    <vt:r8>1182700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